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simon/Bilbau_Wolke/3_Bilbau/5_Kursunterlagen_DE/w_Graphiken_Tabellen_etc./Bauteil rechnen/"/>
    </mc:Choice>
  </mc:AlternateContent>
  <xr:revisionPtr revIDLastSave="0" documentId="13_ncr:1_{C1A7F624-9334-7644-8D6B-D6C6E2D4FFBF}" xr6:coauthVersionLast="47" xr6:coauthVersionMax="47" xr10:uidLastSave="{00000000-0000-0000-0000-000000000000}"/>
  <bookViews>
    <workbookView xWindow="0" yWindow="500" windowWidth="28800" windowHeight="17500" xr2:uid="{F79348AF-2A80-D944-86C3-AF2C88ADE87E}"/>
  </bookViews>
  <sheets>
    <sheet name="Bemerkungen" sheetId="2" r:id="rId1"/>
    <sheet name="Einfache Berechnung" sheetId="1" r:id="rId2"/>
    <sheet name="Schichtanalys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3" l="1"/>
  <c r="H5" i="3"/>
  <c r="X48" i="3"/>
  <c r="X49" i="3"/>
  <c r="S41" i="3"/>
  <c r="X41" i="3"/>
  <c r="J6" i="3" l="1"/>
  <c r="X47" i="3"/>
  <c r="C36" i="1"/>
  <c r="C34" i="1"/>
  <c r="C30" i="1"/>
  <c r="C28" i="1"/>
  <c r="C26" i="1"/>
  <c r="H39" i="3"/>
  <c r="X43" i="3"/>
  <c r="S43" i="3"/>
  <c r="N43" i="3"/>
  <c r="H43" i="3"/>
  <c r="C30" i="3"/>
  <c r="X28" i="3"/>
  <c r="C27" i="3"/>
  <c r="X26" i="3"/>
  <c r="S26" i="3"/>
  <c r="N26" i="3"/>
  <c r="H26" i="3"/>
  <c r="X25" i="3"/>
  <c r="S25" i="3"/>
  <c r="S27" i="3" s="1"/>
  <c r="S47" i="3" s="1"/>
  <c r="N25" i="3"/>
  <c r="N27" i="3" s="1"/>
  <c r="N47" i="3" s="1"/>
  <c r="H25" i="3"/>
  <c r="H31" i="3" s="1"/>
  <c r="C23" i="3"/>
  <c r="X20" i="3"/>
  <c r="C20" i="3"/>
  <c r="C19" i="3"/>
  <c r="C15" i="3"/>
  <c r="S13" i="3"/>
  <c r="S30" i="3" s="1"/>
  <c r="C11" i="3"/>
  <c r="N5" i="3"/>
  <c r="H3" i="3"/>
  <c r="H2" i="3"/>
  <c r="H40" i="3" l="1"/>
  <c r="H41" i="3" s="1"/>
  <c r="C29" i="1"/>
  <c r="C31" i="1" s="1"/>
  <c r="X30" i="3"/>
  <c r="N28" i="3"/>
  <c r="N48" i="3" s="1"/>
  <c r="H27" i="3"/>
  <c r="H47" i="3" s="1"/>
  <c r="S28" i="3"/>
  <c r="S48" i="3" s="1"/>
  <c r="N30" i="3"/>
  <c r="X27" i="3"/>
  <c r="H28" i="3"/>
  <c r="H49" i="3" s="1"/>
  <c r="X21" i="3"/>
  <c r="X22" i="3" s="1"/>
  <c r="X23" i="3" s="1"/>
  <c r="N6" i="3"/>
  <c r="N31" i="3" s="1"/>
  <c r="S14" i="3"/>
  <c r="C33" i="3"/>
  <c r="C31" i="3"/>
  <c r="H30" i="3"/>
  <c r="H4" i="3"/>
  <c r="C32" i="3"/>
  <c r="C9" i="1"/>
  <c r="C14" i="1" s="1"/>
  <c r="C10" i="1"/>
  <c r="C11" i="1" s="1"/>
  <c r="C15" i="1" s="1"/>
  <c r="C16" i="1" s="1"/>
  <c r="X32" i="3" l="1"/>
  <c r="X40" i="3"/>
  <c r="S49" i="3"/>
  <c r="N49" i="3"/>
  <c r="H32" i="3"/>
  <c r="H48" i="3"/>
  <c r="C17" i="1"/>
  <c r="X31" i="3"/>
  <c r="N7" i="3"/>
  <c r="N33" i="3" s="1"/>
  <c r="S31" i="3"/>
  <c r="S15" i="3"/>
  <c r="H33" i="3"/>
  <c r="H42" i="3"/>
  <c r="H44" i="3" s="1"/>
  <c r="X33" i="3"/>
  <c r="X50" i="3" s="1"/>
  <c r="X51" i="3" s="1"/>
  <c r="X39" i="3"/>
  <c r="X42" i="3" s="1"/>
  <c r="X44" i="3" s="1"/>
  <c r="N50" i="3" l="1"/>
  <c r="N51" i="3" s="1"/>
  <c r="H50" i="3"/>
  <c r="H51" i="3" s="1"/>
  <c r="H53" i="3" s="1"/>
  <c r="C19" i="1"/>
  <c r="C21" i="1" s="1"/>
  <c r="C37" i="1"/>
  <c r="C38" i="1" s="1"/>
  <c r="C40" i="1" s="1"/>
  <c r="N39" i="3"/>
  <c r="N8" i="3"/>
  <c r="X53" i="3"/>
  <c r="S33" i="3"/>
  <c r="S50" i="3" s="1"/>
  <c r="S51" i="3" s="1"/>
  <c r="S39" i="3"/>
  <c r="S42" i="3" s="1"/>
  <c r="S44" i="3" s="1"/>
  <c r="S16" i="3"/>
  <c r="N40" i="3" l="1"/>
  <c r="N41" i="3" s="1"/>
  <c r="N42" i="3" s="1"/>
  <c r="N44" i="3" s="1"/>
  <c r="N53" i="3" s="1"/>
  <c r="S32" i="3"/>
  <c r="S40" i="3"/>
  <c r="N32" i="3"/>
  <c r="S5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tc={1B20820E-9DF8-1E48-B6F0-58FC0F3601C9}</author>
    <author>tc={5756CE82-5C26-2243-9D6F-F6B66232616C}</author>
  </authors>
  <commentList>
    <comment ref="B12" authorId="0" shapeId="0" xr:uid="{1B20820E-9DF8-1E48-B6F0-58FC0F3601C9}">
      <text>
        <t>[Threaded comment]
Your version of Excel allows you to read this threaded comment; however, any edits to it will get removed if the file is opened in a newer version of Excel. Learn more: https://go.microsoft.com/fwlink/?linkid=870924
Comment:
    Durchschnitt Konzentration von oberer und unterer Schicht</t>
      </text>
    </comment>
    <comment ref="B20" authorId="1" shapeId="0" xr:uid="{5756CE82-5C26-2243-9D6F-F6B66232616C}">
      <text>
        <t>[Threaded comment]
Your version of Excel allows you to read this threaded comment; however, any edits to it will get removed if the file is opened in a newer version of Excel. Learn more: https://go.microsoft.com/fwlink/?linkid=870924
Comment:
    Durchschnitt Konzentration von oberer und unterer Schicht</t>
      </text>
    </comment>
  </commentList>
</comments>
</file>

<file path=xl/sharedStrings.xml><?xml version="1.0" encoding="utf-8"?>
<sst xmlns="http://schemas.openxmlformats.org/spreadsheetml/2006/main" count="399" uniqueCount="109">
  <si>
    <t>Dicke Anstrich</t>
  </si>
  <si>
    <t>Dichte Anstrich</t>
  </si>
  <si>
    <t>Konzentration im Anstrich</t>
  </si>
  <si>
    <t>Dicke Bauteil</t>
  </si>
  <si>
    <t>Dichte Bauteil</t>
  </si>
  <si>
    <t>mm</t>
  </si>
  <si>
    <t>kg/m3</t>
  </si>
  <si>
    <t>mg/kg</t>
  </si>
  <si>
    <t>Durchschnittsdichte</t>
  </si>
  <si>
    <t>Konzentration aufs Bauteil</t>
  </si>
  <si>
    <t>Total</t>
  </si>
  <si>
    <t>Beschich-tung</t>
  </si>
  <si>
    <t>Bau-teil</t>
  </si>
  <si>
    <t>Total Dicke</t>
  </si>
  <si>
    <t>Schicht 1</t>
  </si>
  <si>
    <t>Konzentration</t>
  </si>
  <si>
    <t>Zwischenschicht (Dicke Sägeblatt)</t>
  </si>
  <si>
    <t>Schicht 2</t>
  </si>
  <si>
    <t>Schicht 3</t>
  </si>
  <si>
    <t>Untergrund</t>
  </si>
  <si>
    <t>Mittlere Konzentrationen Schicht 1 + Anstrich</t>
  </si>
  <si>
    <t>Mittlere Konzentration Untergrund</t>
  </si>
  <si>
    <t>Ø Konzentration</t>
  </si>
  <si>
    <r>
      <rPr>
        <b/>
        <sz val="12"/>
        <color theme="1"/>
        <rFont val="Calibri"/>
        <family val="2"/>
        <scheme val="minor"/>
      </rPr>
      <t>Zwischenschicht</t>
    </r>
    <r>
      <rPr>
        <sz val="12"/>
        <color theme="1"/>
        <rFont val="Calibri"/>
        <family val="2"/>
        <scheme val="minor"/>
      </rPr>
      <t xml:space="preserve"> (Dicke Sägeblatt)</t>
    </r>
  </si>
  <si>
    <t>Ø Dichte</t>
  </si>
  <si>
    <t>Kosten Sanierung</t>
  </si>
  <si>
    <t>Abtrag Beschichtung</t>
  </si>
  <si>
    <t>Abtrag Beschichtung und Beton</t>
  </si>
  <si>
    <t>Kosten Entsorgung</t>
  </si>
  <si>
    <t>SAVA</t>
  </si>
  <si>
    <t>KVA</t>
  </si>
  <si>
    <t>Deponie E</t>
  </si>
  <si>
    <t>Deponie B</t>
  </si>
  <si>
    <t>Recycling gebunden</t>
  </si>
  <si>
    <t>CHF/t</t>
  </si>
  <si>
    <t>Dicke</t>
  </si>
  <si>
    <t>kg/m2</t>
  </si>
  <si>
    <t>Berechnung der Belastung auf Schicht-Analyse</t>
  </si>
  <si>
    <t>Kosten Sanierung und Entsorgung</t>
  </si>
  <si>
    <t>Belastung pro Charge: NUR ANSTRICH ENTFERNEN</t>
  </si>
  <si>
    <t>Bei gemischten Bauteilen wird jeweils die Durchschnittsdichte (Durschnitt zwischen Beschichtung und Untergrund) gerechnet, nicht nur der Untergrund.</t>
  </si>
  <si>
    <t>Einfache Berechnung</t>
  </si>
  <si>
    <t>Einfache Berechnung der Belastung auf Grund Farb-Analyse</t>
  </si>
  <si>
    <t>Tabelle Einfache Berechnung</t>
  </si>
  <si>
    <t>Tabelle Schichtanalyse</t>
  </si>
  <si>
    <t>Bemerkungen</t>
  </si>
  <si>
    <t>Die Konzentration in der Zwischenschicht (Sägeblatt) entspricht dem Mittel zwischen den denebenliegenden Schichten</t>
  </si>
  <si>
    <t>Zwischenschicht</t>
  </si>
  <si>
    <t>Konzentration Zwischenschicht</t>
  </si>
  <si>
    <t>Gewicht kg / m2</t>
  </si>
  <si>
    <t>Dichte Untergrund</t>
  </si>
  <si>
    <t>Dichte</t>
  </si>
  <si>
    <t>Gewicht total kg/m2</t>
  </si>
  <si>
    <t>Belastung pro Charge: ANSTRICH und OBERSTE SCHICHT</t>
  </si>
  <si>
    <t>Belastung pro Charge: ANSTRICH und OBERSTE 2 SCHICHTEN</t>
  </si>
  <si>
    <t>Belastung pro Charge: ANSTRICH und OBERSTE 3 SCHICHTEN</t>
  </si>
  <si>
    <t>Mittlere Konz. Untergrund</t>
  </si>
  <si>
    <t>Belastete Schicht</t>
  </si>
  <si>
    <t>Unbelastete Schicht</t>
  </si>
  <si>
    <t>Kosten Sanierung und Entsorgung pro m2</t>
  </si>
  <si>
    <t>Abfall-Menge</t>
  </si>
  <si>
    <t>Entsorgungsweg</t>
  </si>
  <si>
    <t>Entsorgungskosten pro t</t>
  </si>
  <si>
    <t>Entsorgungskosten pro m2</t>
  </si>
  <si>
    <t>CHF/m2</t>
  </si>
  <si>
    <t>CHF/t/m2</t>
  </si>
  <si>
    <t>Sanierungskosten pro m2</t>
  </si>
  <si>
    <t>Kosten für diese Schicht pro m2</t>
  </si>
  <si>
    <t>Recycling</t>
  </si>
  <si>
    <t>Sanierungs- und Entsorgungskosten total</t>
  </si>
  <si>
    <t>Allgemeine Informationen</t>
  </si>
  <si>
    <t>Zweck</t>
  </si>
  <si>
    <t>Die Tabelle erlaubt es, die Konzentration eines Schadstoffes aufs Bauteil auszurechnen, und zwar sowohl beim Beproben des Anstrichs alleine als auch bei einer Schichtanalyse.</t>
  </si>
  <si>
    <t>Ausserdem kann man mit der Tabelle einfach die Entsorgungskosten pro Flächeneinheit berechnen und so den kostengünstigsten Entsorgungsweg festlegen.</t>
  </si>
  <si>
    <t>Einschränkung</t>
  </si>
  <si>
    <t xml:space="preserve">Dies ist eine erste Fassung der Tabelle, die noch überprüft werden muss. Berechnungen sind also durch eine konventionelle Berechnung zu bestätigen. </t>
  </si>
  <si>
    <t>Die Autoren lehnen jegliche Haftung bei falschen Resultaten ab.</t>
  </si>
  <si>
    <t>Konzentrationen, Schichtdicken und Dichten eingeben. Das Resultat entspricht der Durschnittskonzentration aufs Bauteil.</t>
  </si>
  <si>
    <t xml:space="preserve">Einzugeben sind jeweils die gelb markierten Felder. </t>
  </si>
  <si>
    <t>Die Zahlen in der Tabelle sind als Beispiel drin.</t>
  </si>
  <si>
    <t xml:space="preserve">Die Zahlen für die Sanierungs- und Entsorgungskosten sind nicht aktuell. </t>
  </si>
  <si>
    <t>Einschränkungen</t>
  </si>
  <si>
    <t>Eingeben</t>
  </si>
  <si>
    <t xml:space="preserve">Gelb markierte Felder sind einzugeben. </t>
  </si>
  <si>
    <t>Die Tabelle arbeitet mit der Durchschnittsdichte, und nicht mit der Dichte des unteren Bauteils. Dadurch erhält man ein um einige Prozent präziseres Resultat.</t>
  </si>
  <si>
    <t>Beton ohne Armierungseisen</t>
  </si>
  <si>
    <t>Unterlagsboden</t>
  </si>
  <si>
    <t>Ungefähre Dichte von Baumaterialien</t>
  </si>
  <si>
    <t>Öllasur</t>
  </si>
  <si>
    <t>Korrosionsschutz</t>
  </si>
  <si>
    <t>Fassadenfarbe</t>
  </si>
  <si>
    <t>von</t>
  </si>
  <si>
    <t>bis</t>
  </si>
  <si>
    <t>Farbe / Lack</t>
  </si>
  <si>
    <t>Copyright</t>
  </si>
  <si>
    <t>Diese Vorlage wird unter Creative Commons Lizenz CC BY-NC 4.0  publiziert.</t>
  </si>
  <si>
    <t>Das heisst: Die Tabelle kann frei verwendet und genutzt werden. Eine Weitergabe der Tabelle, auch in angepasster Form ist aber nur unter der gleichen Bedingung und unter Erwähnung des Autors zugelassen. Eine kommerzielle Nutzung ist ohne Einwilligung des Autors nicht zulässig.</t>
  </si>
  <si>
    <r>
      <t xml:space="preserve">Kosten Entsorgung </t>
    </r>
    <r>
      <rPr>
        <b/>
        <sz val="14"/>
        <color rgb="FFFFFF00"/>
        <rFont val="Calibri (Body)"/>
      </rPr>
      <t>OHNE SANIERUNG</t>
    </r>
    <r>
      <rPr>
        <b/>
        <sz val="14"/>
        <color theme="0"/>
        <rFont val="Calibri"/>
        <family val="2"/>
        <scheme val="minor"/>
      </rPr>
      <t xml:space="preserve"> pro m2</t>
    </r>
  </si>
  <si>
    <t>Dep. E</t>
  </si>
  <si>
    <r>
      <t xml:space="preserve">Kosten </t>
    </r>
    <r>
      <rPr>
        <b/>
        <sz val="14"/>
        <color rgb="FFFFFF00"/>
        <rFont val="Calibri (Body)"/>
      </rPr>
      <t>MIT ABTRAG BESCHICHTUNG</t>
    </r>
    <r>
      <rPr>
        <b/>
        <sz val="14"/>
        <color theme="0"/>
        <rFont val="Calibri"/>
        <family val="2"/>
        <scheme val="minor"/>
      </rPr>
      <t xml:space="preserve"> pro m2</t>
    </r>
  </si>
  <si>
    <t>Anteil Beton, der mit abgeschiffen wird um Unebenheiten etc, auszugleichen)</t>
  </si>
  <si>
    <t>Dep. B</t>
  </si>
  <si>
    <t>Grenzwert</t>
  </si>
  <si>
    <t>Kosten</t>
  </si>
  <si>
    <r>
      <t xml:space="preserve">Berechnung der Schadstoff-Belastung aufs Bauteil </t>
    </r>
    <r>
      <rPr>
        <b/>
        <sz val="14"/>
        <color rgb="FFFFFF00"/>
        <rFont val="Calibri (Body)"/>
      </rPr>
      <t>(Draft, Version 1.3)</t>
    </r>
  </si>
  <si>
    <t>Autoren: Simon Schneebeli, Bildungszentrum Bauschadstoffe Schweiz Bilbau.ch und Lukas Uhlmann, Ecosens.ch</t>
  </si>
  <si>
    <t>Mittlere Konzentrationen Schicht 1 und 2 + Anstrich</t>
  </si>
  <si>
    <t>Mittlere Konzentrationen Schicht 1 bis 3 + Anstrich</t>
  </si>
  <si>
    <t>Gewicht total pro 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</si>
</sst>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1" x14ac:knownFonts="1">
    <font>
      <sz val="12"/>
      <color theme="1"/>
      <name val="Calibri"/>
      <family val="2"/>
      <scheme val="minor"/>
    </font>
    <font>
      <b/>
      <sz val="12"/>
      <color theme="1"/>
      <name val="Calibri"/>
      <family val="2"/>
      <scheme val="minor"/>
    </font>
    <font>
      <b/>
      <sz val="14"/>
      <color theme="0"/>
      <name val="Calibri"/>
      <family val="2"/>
      <scheme val="minor"/>
    </font>
    <font>
      <sz val="12"/>
      <name val="Calibri"/>
      <family val="2"/>
      <scheme val="minor"/>
    </font>
    <font>
      <b/>
      <sz val="13"/>
      <color theme="0"/>
      <name val="Calibri"/>
      <family val="2"/>
      <scheme val="minor"/>
    </font>
    <font>
      <sz val="12"/>
      <color rgb="FFFF0000"/>
      <name val="Calibri"/>
      <family val="2"/>
      <scheme val="minor"/>
    </font>
    <font>
      <sz val="12"/>
      <color theme="0"/>
      <name val="Calibri"/>
      <family val="2"/>
      <scheme val="minor"/>
    </font>
    <font>
      <b/>
      <sz val="14"/>
      <color rgb="FFFF0000"/>
      <name val="Calibri"/>
      <family val="2"/>
      <scheme val="minor"/>
    </font>
    <font>
      <b/>
      <sz val="12"/>
      <color rgb="FFFF0000"/>
      <name val="Calibri"/>
      <family val="2"/>
      <scheme val="minor"/>
    </font>
    <font>
      <b/>
      <sz val="12"/>
      <color theme="0"/>
      <name val="Calibri"/>
      <family val="2"/>
      <scheme val="minor"/>
    </font>
    <font>
      <b/>
      <sz val="14"/>
      <color rgb="FFFFFF00"/>
      <name val="Calibri (Body)"/>
    </font>
  </fonts>
  <fills count="19">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4"/>
        <bgColor indexed="64"/>
      </patternFill>
    </fill>
    <fill>
      <patternFill patternType="solid">
        <fgColor theme="7" tint="0.39997558519241921"/>
        <bgColor indexed="64"/>
      </patternFill>
    </fill>
    <fill>
      <patternFill patternType="solid">
        <fgColor rgb="FFFFFF00"/>
        <bgColor indexed="64"/>
      </patternFill>
    </fill>
    <fill>
      <patternFill patternType="solid">
        <fgColor theme="8"/>
        <bgColor indexed="64"/>
      </patternFill>
    </fill>
    <fill>
      <patternFill patternType="solid">
        <fgColor theme="0"/>
        <bgColor indexed="64"/>
      </patternFill>
    </fill>
  </fills>
  <borders count="2">
    <border>
      <left/>
      <right/>
      <top/>
      <bottom/>
      <diagonal/>
    </border>
    <border>
      <left style="thin">
        <color rgb="FFFF0000"/>
      </left>
      <right style="thin">
        <color rgb="FFFF0000"/>
      </right>
      <top style="thin">
        <color rgb="FFFF0000"/>
      </top>
      <bottom style="thin">
        <color rgb="FFFF0000"/>
      </bottom>
      <diagonal/>
    </border>
  </borders>
  <cellStyleXfs count="1">
    <xf numFmtId="0" fontId="0" fillId="0" borderId="0"/>
  </cellStyleXfs>
  <cellXfs count="58">
    <xf numFmtId="0" fontId="0" fillId="0" borderId="0" xfId="0"/>
    <xf numFmtId="0" fontId="0" fillId="0" borderId="0" xfId="0" applyAlignment="1">
      <alignment horizontal="center" vertical="center" textRotation="90" wrapText="1"/>
    </xf>
    <xf numFmtId="0" fontId="0" fillId="3" borderId="0" xfId="0" applyFill="1"/>
    <xf numFmtId="0" fontId="0" fillId="5" borderId="0" xfId="0" applyFill="1"/>
    <xf numFmtId="0" fontId="0" fillId="2" borderId="0" xfId="0" applyFill="1"/>
    <xf numFmtId="0" fontId="1" fillId="2" borderId="0" xfId="0" applyFont="1" applyFill="1"/>
    <xf numFmtId="2" fontId="1" fillId="7" borderId="0" xfId="0" applyNumberFormat="1" applyFont="1" applyFill="1"/>
    <xf numFmtId="0" fontId="0" fillId="9" borderId="0" xfId="0" applyFill="1" applyAlignment="1">
      <alignment horizontal="left" vertical="center" wrapText="1"/>
    </xf>
    <xf numFmtId="0" fontId="0" fillId="9" borderId="0" xfId="0" applyFill="1"/>
    <xf numFmtId="2" fontId="0" fillId="2" borderId="0" xfId="0" applyNumberFormat="1" applyFill="1"/>
    <xf numFmtId="0" fontId="2" fillId="10" borderId="0" xfId="0" applyFont="1" applyFill="1"/>
    <xf numFmtId="0" fontId="0" fillId="8" borderId="0" xfId="0" applyFill="1"/>
    <xf numFmtId="0" fontId="1" fillId="5" borderId="0" xfId="0" applyFont="1" applyFill="1"/>
    <xf numFmtId="2" fontId="1" fillId="5" borderId="0" xfId="0" applyNumberFormat="1" applyFont="1" applyFill="1"/>
    <xf numFmtId="0" fontId="3" fillId="0" borderId="0" xfId="0" applyFont="1"/>
    <xf numFmtId="0" fontId="1" fillId="6" borderId="0" xfId="0" applyFont="1" applyFill="1"/>
    <xf numFmtId="0" fontId="0" fillId="6" borderId="0" xfId="0" applyFill="1"/>
    <xf numFmtId="0" fontId="0" fillId="0" borderId="0" xfId="0" applyAlignment="1">
      <alignment vertical="center" textRotation="90" wrapText="1"/>
    </xf>
    <xf numFmtId="2" fontId="0" fillId="0" borderId="0" xfId="0" applyNumberFormat="1"/>
    <xf numFmtId="0" fontId="1" fillId="0" borderId="0" xfId="0" applyFont="1"/>
    <xf numFmtId="2" fontId="1" fillId="0" borderId="0" xfId="0" applyNumberFormat="1" applyFont="1"/>
    <xf numFmtId="0" fontId="4" fillId="10" borderId="0" xfId="0" applyFont="1" applyFill="1"/>
    <xf numFmtId="0" fontId="2" fillId="0" borderId="0" xfId="0" applyFont="1"/>
    <xf numFmtId="0" fontId="1" fillId="0" borderId="0" xfId="0" applyFont="1" applyAlignment="1">
      <alignment vertical="top"/>
    </xf>
    <xf numFmtId="0" fontId="0" fillId="0" borderId="0" xfId="0" applyAlignment="1">
      <alignment vertical="top" wrapText="1"/>
    </xf>
    <xf numFmtId="0" fontId="2" fillId="14" borderId="0" xfId="0" applyFont="1" applyFill="1" applyAlignment="1">
      <alignment vertical="top"/>
    </xf>
    <xf numFmtId="0" fontId="6" fillId="14" borderId="0" xfId="0" applyFont="1" applyFill="1" applyAlignment="1">
      <alignment vertical="top" wrapText="1"/>
    </xf>
    <xf numFmtId="0" fontId="6" fillId="14" borderId="0" xfId="0" applyFont="1" applyFill="1"/>
    <xf numFmtId="0" fontId="7" fillId="13" borderId="0" xfId="0" applyFont="1" applyFill="1" applyAlignment="1">
      <alignment vertical="top"/>
    </xf>
    <xf numFmtId="0" fontId="5" fillId="13" borderId="0" xfId="0" applyFont="1" applyFill="1" applyAlignment="1">
      <alignment vertical="top" wrapText="1"/>
    </xf>
    <xf numFmtId="0" fontId="5" fillId="13" borderId="0" xfId="0" applyFont="1" applyFill="1"/>
    <xf numFmtId="0" fontId="0" fillId="9" borderId="0" xfId="0" applyFill="1" applyAlignment="1">
      <alignment horizontal="right" vertical="center" wrapText="1"/>
    </xf>
    <xf numFmtId="0" fontId="1" fillId="0" borderId="0" xfId="0" applyFont="1" applyAlignment="1">
      <alignment vertical="top" wrapText="1"/>
    </xf>
    <xf numFmtId="165" fontId="0" fillId="5" borderId="0" xfId="0" applyNumberFormat="1" applyFill="1"/>
    <xf numFmtId="165" fontId="0" fillId="2" borderId="0" xfId="0" applyNumberFormat="1" applyFill="1"/>
    <xf numFmtId="164" fontId="1" fillId="5" borderId="0" xfId="0" applyNumberFormat="1" applyFont="1" applyFill="1"/>
    <xf numFmtId="0" fontId="1" fillId="7" borderId="0" xfId="0" applyFont="1" applyFill="1"/>
    <xf numFmtId="0" fontId="0" fillId="7" borderId="0" xfId="0" applyFill="1"/>
    <xf numFmtId="0" fontId="1" fillId="15" borderId="0" xfId="0" applyFont="1" applyFill="1"/>
    <xf numFmtId="2" fontId="1" fillId="15" borderId="0" xfId="0" applyNumberFormat="1" applyFont="1" applyFill="1"/>
    <xf numFmtId="0" fontId="8" fillId="0" borderId="0" xfId="0" applyFont="1" applyAlignment="1">
      <alignment vertical="top" wrapText="1"/>
    </xf>
    <xf numFmtId="0" fontId="2" fillId="0" borderId="0" xfId="0" applyFont="1" applyAlignment="1">
      <alignment wrapText="1"/>
    </xf>
    <xf numFmtId="0" fontId="2" fillId="14" borderId="0" xfId="0" applyFont="1" applyFill="1" applyAlignment="1">
      <alignment wrapText="1"/>
    </xf>
    <xf numFmtId="0" fontId="0" fillId="16" borderId="1" xfId="0" applyFill="1" applyBorder="1"/>
    <xf numFmtId="0" fontId="9" fillId="17" borderId="0" xfId="0" applyFont="1" applyFill="1"/>
    <xf numFmtId="0" fontId="6" fillId="17" borderId="0" xfId="0" applyFont="1" applyFill="1"/>
    <xf numFmtId="0" fontId="0" fillId="18" borderId="1" xfId="0" applyFill="1" applyBorder="1"/>
    <xf numFmtId="2" fontId="0" fillId="16" borderId="1" xfId="0" applyNumberFormat="1" applyFill="1" applyBorder="1"/>
    <xf numFmtId="0" fontId="0" fillId="0" borderId="0" xfId="0" applyAlignment="1">
      <alignment horizontal="left"/>
    </xf>
    <xf numFmtId="0" fontId="2" fillId="10" borderId="0" xfId="0" applyFont="1" applyFill="1" applyAlignment="1">
      <alignment horizontal="left" wrapText="1"/>
    </xf>
    <xf numFmtId="0" fontId="1" fillId="7" borderId="0" xfId="0" applyFont="1" applyFill="1" applyAlignment="1">
      <alignment horizontal="left" wrapText="1"/>
    </xf>
    <xf numFmtId="0" fontId="0" fillId="0" borderId="0" xfId="0" applyAlignment="1">
      <alignment horizontal="left" wrapText="1"/>
    </xf>
    <xf numFmtId="0" fontId="4" fillId="14" borderId="0" xfId="0" applyFont="1" applyFill="1" applyAlignment="1">
      <alignment horizontal="left" wrapText="1"/>
    </xf>
    <xf numFmtId="0" fontId="0" fillId="4" borderId="0" xfId="0" applyFill="1" applyAlignment="1">
      <alignment horizontal="center" vertical="center" textRotation="90" wrapText="1"/>
    </xf>
    <xf numFmtId="0" fontId="0" fillId="11" borderId="0" xfId="0" applyFill="1" applyAlignment="1">
      <alignment horizontal="center" vertical="center" textRotation="90" wrapText="1"/>
    </xf>
    <xf numFmtId="0" fontId="0" fillId="6" borderId="0" xfId="0" applyFill="1" applyAlignment="1">
      <alignment horizontal="center" vertical="center" textRotation="90" wrapText="1"/>
    </xf>
    <xf numFmtId="0" fontId="0" fillId="12" borderId="0" xfId="0" applyFill="1" applyAlignment="1">
      <alignment horizontal="center" vertical="center" textRotation="90" wrapText="1"/>
    </xf>
    <xf numFmtId="0" fontId="0" fillId="9" borderId="0" xfId="0"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1333500</xdr:colOff>
      <xdr:row>2</xdr:row>
      <xdr:rowOff>368300</xdr:rowOff>
    </xdr:from>
    <xdr:to>
      <xdr:col>1</xdr:col>
      <xdr:colOff>4699000</xdr:colOff>
      <xdr:row>12</xdr:row>
      <xdr:rowOff>0</xdr:rowOff>
    </xdr:to>
    <xdr:sp macro="" textlink="">
      <xdr:nvSpPr>
        <xdr:cNvPr id="2" name="TextBox 1">
          <a:extLst>
            <a:ext uri="{FF2B5EF4-FFF2-40B4-BE49-F238E27FC236}">
              <a16:creationId xmlns:a16="http://schemas.microsoft.com/office/drawing/2014/main" id="{57D89886-DFBD-0857-A275-FBE159753A0F}"/>
            </a:ext>
          </a:extLst>
        </xdr:cNvPr>
        <xdr:cNvSpPr txBox="1"/>
      </xdr:nvSpPr>
      <xdr:spPr>
        <a:xfrm>
          <a:off x="2832100" y="850900"/>
          <a:ext cx="3365500" cy="2641600"/>
        </a:xfrm>
        <a:prstGeom prst="rect">
          <a:avLst/>
        </a:prstGeom>
        <a:solidFill>
          <a:schemeClr val="accent4">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a:solidFill>
                <a:srgbClr val="FF0000"/>
              </a:solidFill>
            </a:rPr>
            <a:t>Wichtig: </a:t>
          </a:r>
        </a:p>
        <a:p>
          <a:r>
            <a:rPr lang="en-GB" sz="1800"/>
            <a:t>Diese Tabelle ist noch</a:t>
          </a:r>
          <a:r>
            <a:rPr lang="en-GB" sz="1800" baseline="0"/>
            <a:t> ein Draft. Die Resultate dieser Berechnungen müssen deshalb mit einer zweiten Methode überprüft werden.  </a:t>
          </a:r>
        </a:p>
        <a:p>
          <a:endParaRPr lang="en-GB" sz="1800" baseline="0"/>
        </a:p>
        <a:p>
          <a:r>
            <a:rPr lang="en-GB" sz="1800" baseline="0"/>
            <a:t>Weitere Informationen auf www.bilbau.ch</a:t>
          </a:r>
          <a:endParaRPr lang="en-GB" sz="1800"/>
        </a:p>
      </xdr:txBody>
    </xdr:sp>
    <xdr:clientData/>
  </xdr:twoCellAnchor>
  <xdr:twoCellAnchor editAs="oneCell">
    <xdr:from>
      <xdr:col>1</xdr:col>
      <xdr:colOff>0</xdr:colOff>
      <xdr:row>37</xdr:row>
      <xdr:rowOff>0</xdr:rowOff>
    </xdr:from>
    <xdr:to>
      <xdr:col>1</xdr:col>
      <xdr:colOff>635000</xdr:colOff>
      <xdr:row>40</xdr:row>
      <xdr:rowOff>25400</xdr:rowOff>
    </xdr:to>
    <xdr:sp macro="" textlink="">
      <xdr:nvSpPr>
        <xdr:cNvPr id="2052" name="AutoShape 4">
          <a:extLst>
            <a:ext uri="{FF2B5EF4-FFF2-40B4-BE49-F238E27FC236}">
              <a16:creationId xmlns:a16="http://schemas.microsoft.com/office/drawing/2014/main" id="{FF725791-5F56-6E63-0E08-63BFBDB7A1F4}"/>
            </a:ext>
          </a:extLst>
        </xdr:cNvPr>
        <xdr:cNvSpPr>
          <a:spLocks noChangeAspect="1" noChangeArrowheads="1"/>
        </xdr:cNvSpPr>
      </xdr:nvSpPr>
      <xdr:spPr bwMode="auto">
        <a:xfrm>
          <a:off x="1498600" y="10096500"/>
          <a:ext cx="635000" cy="635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63500</xdr:colOff>
      <xdr:row>35</xdr:row>
      <xdr:rowOff>38100</xdr:rowOff>
    </xdr:from>
    <xdr:to>
      <xdr:col>0</xdr:col>
      <xdr:colOff>1473200</xdr:colOff>
      <xdr:row>35</xdr:row>
      <xdr:rowOff>439322</xdr:rowOff>
    </xdr:to>
    <xdr:pic>
      <xdr:nvPicPr>
        <xdr:cNvPr id="3" name="Picture 2">
          <a:extLst>
            <a:ext uri="{FF2B5EF4-FFF2-40B4-BE49-F238E27FC236}">
              <a16:creationId xmlns:a16="http://schemas.microsoft.com/office/drawing/2014/main" id="{4D4887CF-DF39-8ABE-01A6-4E4B043BCE81}"/>
            </a:ext>
          </a:extLst>
        </xdr:cNvPr>
        <xdr:cNvPicPr>
          <a:picLocks noChangeAspect="1"/>
        </xdr:cNvPicPr>
      </xdr:nvPicPr>
      <xdr:blipFill>
        <a:blip xmlns:r="http://schemas.openxmlformats.org/officeDocument/2006/relationships" r:embed="rId1"/>
        <a:stretch>
          <a:fillRect/>
        </a:stretch>
      </xdr:blipFill>
      <xdr:spPr>
        <a:xfrm>
          <a:off x="63500" y="9283700"/>
          <a:ext cx="1409700" cy="40122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imon Schneebeli" id="{DF948922-C004-9349-BEB1-12DBF712545D}" userId="cd52f9d5257ac8e1" providerId="Windows Liv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2" dT="2023-11-01T20:11:00.14" personId="{DF948922-C004-9349-BEB1-12DBF712545D}" id="{1B20820E-9DF8-1E48-B6F0-58FC0F3601C9}">
    <text>Durchschnitt Konzentration von oberer und unterer Schicht</text>
  </threadedComment>
  <threadedComment ref="B20" dT="2023-11-01T20:11:00.14" personId="{DF948922-C004-9349-BEB1-12DBF712545D}" id="{5756CE82-5C26-2243-9D6F-F6B66232616C}">
    <text>Durchschnitt Konzentration von oberer und unterer Schicht</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5604E-9983-9746-9C5D-0CF5EF3877C4}">
  <dimension ref="A1:B40"/>
  <sheetViews>
    <sheetView tabSelected="1" workbookViewId="0">
      <selection activeCell="B37" sqref="B37"/>
    </sheetView>
  </sheetViews>
  <sheetFormatPr baseColWidth="10" defaultRowHeight="16" x14ac:dyDescent="0.2"/>
  <cols>
    <col min="1" max="1" width="19.6640625" style="23" customWidth="1"/>
    <col min="2" max="2" width="82.33203125" style="24" customWidth="1"/>
  </cols>
  <sheetData>
    <row r="1" spans="1:2" s="27" customFormat="1" ht="19" x14ac:dyDescent="0.2">
      <c r="A1" s="25" t="s">
        <v>104</v>
      </c>
      <c r="B1" s="26"/>
    </row>
    <row r="2" spans="1:2" s="30" customFormat="1" ht="19" x14ac:dyDescent="0.2">
      <c r="A2" s="28" t="s">
        <v>70</v>
      </c>
      <c r="B2" s="29"/>
    </row>
    <row r="3" spans="1:2" ht="34" x14ac:dyDescent="0.2">
      <c r="A3" s="32" t="s">
        <v>71</v>
      </c>
      <c r="B3" s="24" t="s">
        <v>72</v>
      </c>
    </row>
    <row r="4" spans="1:2" ht="34" x14ac:dyDescent="0.2">
      <c r="A4" s="32"/>
      <c r="B4" s="24" t="s">
        <v>73</v>
      </c>
    </row>
    <row r="5" spans="1:2" ht="34" x14ac:dyDescent="0.2">
      <c r="A5" s="32" t="s">
        <v>74</v>
      </c>
      <c r="B5" s="24" t="s">
        <v>75</v>
      </c>
    </row>
    <row r="6" spans="1:2" ht="17" x14ac:dyDescent="0.2">
      <c r="A6" s="32"/>
      <c r="B6" s="24" t="s">
        <v>76</v>
      </c>
    </row>
    <row r="7" spans="1:2" x14ac:dyDescent="0.2">
      <c r="A7" s="32"/>
    </row>
    <row r="8" spans="1:2" x14ac:dyDescent="0.2">
      <c r="A8" s="32"/>
    </row>
    <row r="9" spans="1:2" s="30" customFormat="1" ht="19" x14ac:dyDescent="0.2">
      <c r="A9" s="28" t="s">
        <v>43</v>
      </c>
      <c r="B9" s="29"/>
    </row>
    <row r="10" spans="1:2" ht="34" x14ac:dyDescent="0.2">
      <c r="A10" s="32" t="s">
        <v>41</v>
      </c>
      <c r="B10" s="24" t="s">
        <v>77</v>
      </c>
    </row>
    <row r="11" spans="1:2" ht="17" x14ac:dyDescent="0.2">
      <c r="A11" s="32"/>
      <c r="B11" s="24" t="s">
        <v>78</v>
      </c>
    </row>
    <row r="12" spans="1:2" x14ac:dyDescent="0.2">
      <c r="A12" s="32"/>
    </row>
    <row r="13" spans="1:2" ht="34" x14ac:dyDescent="0.2">
      <c r="A13" s="32" t="s">
        <v>45</v>
      </c>
      <c r="B13" s="24" t="s">
        <v>84</v>
      </c>
    </row>
    <row r="14" spans="1:2" x14ac:dyDescent="0.2">
      <c r="A14" s="32"/>
    </row>
    <row r="15" spans="1:2" x14ac:dyDescent="0.2">
      <c r="A15" s="32"/>
    </row>
    <row r="16" spans="1:2" x14ac:dyDescent="0.2">
      <c r="A16" s="32"/>
    </row>
    <row r="17" spans="1:2" x14ac:dyDescent="0.2">
      <c r="A17" s="32"/>
    </row>
    <row r="18" spans="1:2" x14ac:dyDescent="0.2">
      <c r="A18" s="32"/>
    </row>
    <row r="19" spans="1:2" s="28" customFormat="1" ht="19" x14ac:dyDescent="0.2">
      <c r="A19" s="28" t="s">
        <v>44</v>
      </c>
    </row>
    <row r="20" spans="1:2" ht="17" x14ac:dyDescent="0.2">
      <c r="A20" s="32" t="s">
        <v>82</v>
      </c>
      <c r="B20" s="24" t="s">
        <v>83</v>
      </c>
    </row>
    <row r="21" spans="1:2" ht="34" x14ac:dyDescent="0.2">
      <c r="A21" s="32" t="s">
        <v>47</v>
      </c>
      <c r="B21" s="24" t="s">
        <v>40</v>
      </c>
    </row>
    <row r="22" spans="1:2" ht="34" x14ac:dyDescent="0.2">
      <c r="A22" s="32" t="s">
        <v>48</v>
      </c>
      <c r="B22" s="24" t="s">
        <v>46</v>
      </c>
    </row>
    <row r="23" spans="1:2" x14ac:dyDescent="0.2">
      <c r="A23" s="32"/>
    </row>
    <row r="24" spans="1:2" x14ac:dyDescent="0.2">
      <c r="A24" s="32"/>
    </row>
    <row r="25" spans="1:2" ht="17" x14ac:dyDescent="0.2">
      <c r="A25" s="40" t="s">
        <v>81</v>
      </c>
      <c r="B25" s="24" t="s">
        <v>79</v>
      </c>
    </row>
    <row r="26" spans="1:2" ht="17" x14ac:dyDescent="0.2">
      <c r="A26" s="32"/>
      <c r="B26" s="24" t="s">
        <v>80</v>
      </c>
    </row>
    <row r="27" spans="1:2" x14ac:dyDescent="0.2">
      <c r="A27" s="32"/>
    </row>
    <row r="28" spans="1:2" x14ac:dyDescent="0.2">
      <c r="A28" s="32"/>
    </row>
    <row r="29" spans="1:2" s="28" customFormat="1" ht="19" x14ac:dyDescent="0.2">
      <c r="A29" s="28" t="s">
        <v>45</v>
      </c>
    </row>
    <row r="30" spans="1:2" ht="34" x14ac:dyDescent="0.2">
      <c r="A30" s="32" t="s">
        <v>8</v>
      </c>
      <c r="B30" s="24" t="s">
        <v>40</v>
      </c>
    </row>
    <row r="31" spans="1:2" x14ac:dyDescent="0.2">
      <c r="A31" s="32"/>
    </row>
    <row r="32" spans="1:2" x14ac:dyDescent="0.2">
      <c r="A32" s="32"/>
    </row>
    <row r="33" spans="1:2" x14ac:dyDescent="0.2">
      <c r="A33" s="32"/>
    </row>
    <row r="34" spans="1:2" s="28" customFormat="1" ht="19" x14ac:dyDescent="0.2">
      <c r="A34" s="28" t="s">
        <v>94</v>
      </c>
    </row>
    <row r="35" spans="1:2" ht="17" x14ac:dyDescent="0.2">
      <c r="A35" s="32"/>
      <c r="B35" s="24" t="s">
        <v>95</v>
      </c>
    </row>
    <row r="36" spans="1:2" ht="51" x14ac:dyDescent="0.2">
      <c r="A36" s="32"/>
      <c r="B36" s="24" t="s">
        <v>96</v>
      </c>
    </row>
    <row r="37" spans="1:2" ht="34" x14ac:dyDescent="0.2">
      <c r="A37" s="32"/>
      <c r="B37" s="24" t="s">
        <v>105</v>
      </c>
    </row>
    <row r="38" spans="1:2" x14ac:dyDescent="0.2">
      <c r="A38" s="32"/>
      <c r="B38"/>
    </row>
    <row r="39" spans="1:2" x14ac:dyDescent="0.2">
      <c r="A39" s="32"/>
    </row>
    <row r="40" spans="1:2" x14ac:dyDescent="0.2">
      <c r="A40" s="3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D6E32-FECC-9841-B6F7-B85235898B67}">
  <dimension ref="A1:H55"/>
  <sheetViews>
    <sheetView zoomScale="109" zoomScaleNormal="109" workbookViewId="0">
      <selection activeCell="C15" sqref="C15"/>
    </sheetView>
  </sheetViews>
  <sheetFormatPr baseColWidth="10" defaultRowHeight="16" x14ac:dyDescent="0.2"/>
  <cols>
    <col min="1" max="1" width="6.1640625" customWidth="1"/>
    <col min="2" max="2" width="27.33203125" customWidth="1"/>
    <col min="3" max="4" width="8.33203125" customWidth="1"/>
    <col min="5" max="5" width="7.33203125" customWidth="1"/>
    <col min="6" max="6" width="8.33203125" customWidth="1"/>
    <col min="7" max="7" width="9.33203125" customWidth="1"/>
    <col min="8" max="8" width="10.83203125" customWidth="1"/>
    <col min="9" max="9" width="4.6640625" customWidth="1"/>
    <col min="10" max="10" width="10" customWidth="1"/>
    <col min="11" max="11" width="25" customWidth="1"/>
    <col min="12" max="12" width="9.1640625" customWidth="1"/>
    <col min="13" max="13" width="9" customWidth="1"/>
    <col min="16" max="16" width="24.1640625" customWidth="1"/>
    <col min="18" max="18" width="9" customWidth="1"/>
    <col min="21" max="21" width="24.83203125" customWidth="1"/>
    <col min="23" max="23" width="9.1640625" customWidth="1"/>
  </cols>
  <sheetData>
    <row r="1" spans="1:8" s="41" customFormat="1" ht="38" customHeight="1" x14ac:dyDescent="0.25">
      <c r="A1" s="52" t="s">
        <v>42</v>
      </c>
      <c r="B1" s="52"/>
      <c r="C1" s="52"/>
      <c r="D1" s="52"/>
      <c r="E1" s="42"/>
    </row>
    <row r="2" spans="1:8" x14ac:dyDescent="0.2">
      <c r="A2" s="53" t="s">
        <v>11</v>
      </c>
      <c r="B2" s="2" t="s">
        <v>0</v>
      </c>
      <c r="C2" s="43">
        <v>0.3</v>
      </c>
      <c r="D2" s="2" t="s">
        <v>5</v>
      </c>
    </row>
    <row r="3" spans="1:8" x14ac:dyDescent="0.2">
      <c r="A3" s="53"/>
      <c r="B3" s="2" t="s">
        <v>1</v>
      </c>
      <c r="C3" s="43">
        <v>1200</v>
      </c>
      <c r="D3" s="2" t="s">
        <v>6</v>
      </c>
    </row>
    <row r="4" spans="1:8" x14ac:dyDescent="0.2">
      <c r="A4" s="53"/>
      <c r="B4" s="2" t="s">
        <v>2</v>
      </c>
      <c r="C4" s="43">
        <v>3000</v>
      </c>
      <c r="D4" s="2" t="s">
        <v>7</v>
      </c>
    </row>
    <row r="5" spans="1:8" x14ac:dyDescent="0.2">
      <c r="A5" s="1"/>
    </row>
    <row r="6" spans="1:8" x14ac:dyDescent="0.2">
      <c r="A6" s="54" t="s">
        <v>12</v>
      </c>
      <c r="B6" s="3" t="s">
        <v>3</v>
      </c>
      <c r="C6" s="43">
        <v>200</v>
      </c>
      <c r="D6" s="3" t="s">
        <v>5</v>
      </c>
    </row>
    <row r="7" spans="1:8" x14ac:dyDescent="0.2">
      <c r="A7" s="54"/>
      <c r="B7" s="3" t="s">
        <v>4</v>
      </c>
      <c r="C7" s="43">
        <v>2200</v>
      </c>
      <c r="D7" s="3" t="s">
        <v>6</v>
      </c>
    </row>
    <row r="8" spans="1:8" x14ac:dyDescent="0.2">
      <c r="A8" s="1"/>
    </row>
    <row r="9" spans="1:8" x14ac:dyDescent="0.2">
      <c r="A9" s="55" t="s">
        <v>10</v>
      </c>
      <c r="B9" s="4" t="s">
        <v>13</v>
      </c>
      <c r="C9" s="4">
        <f>C2+C6</f>
        <v>200.3</v>
      </c>
      <c r="D9" s="4" t="s">
        <v>5</v>
      </c>
    </row>
    <row r="10" spans="1:8" x14ac:dyDescent="0.2">
      <c r="A10" s="55"/>
      <c r="B10" s="4" t="s">
        <v>8</v>
      </c>
      <c r="C10" s="4">
        <f>(C3*C2+C7*C6)/(C2+C6)</f>
        <v>2198.5022466300547</v>
      </c>
      <c r="D10" s="4" t="s">
        <v>6</v>
      </c>
    </row>
    <row r="11" spans="1:8" x14ac:dyDescent="0.2">
      <c r="A11" s="55"/>
      <c r="B11" s="5" t="s">
        <v>9</v>
      </c>
      <c r="C11" s="6">
        <f>C4*(C2/(C2+C6)*C3/C10)</f>
        <v>2.452538831864838</v>
      </c>
      <c r="D11" s="4" t="s">
        <v>7</v>
      </c>
    </row>
    <row r="13" spans="1:8" ht="19" x14ac:dyDescent="0.25">
      <c r="A13" s="49" t="s">
        <v>97</v>
      </c>
      <c r="B13" s="49"/>
      <c r="C13" s="49"/>
      <c r="D13" s="49"/>
    </row>
    <row r="14" spans="1:8" x14ac:dyDescent="0.2">
      <c r="A14" s="48" t="s">
        <v>60</v>
      </c>
      <c r="B14" s="48"/>
      <c r="C14" s="18">
        <f>C9*C7/1000</f>
        <v>440.66</v>
      </c>
      <c r="D14" t="s">
        <v>36</v>
      </c>
      <c r="G14" t="s">
        <v>102</v>
      </c>
      <c r="H14" t="s">
        <v>103</v>
      </c>
    </row>
    <row r="15" spans="1:8" x14ac:dyDescent="0.2">
      <c r="A15" s="48" t="s">
        <v>61</v>
      </c>
      <c r="B15" s="48"/>
      <c r="C15" s="43" t="str">
        <f>IF(C11&lt;G17,F17,IF(C11&lt;G16,F16,F15))</f>
        <v>Dep. E</v>
      </c>
      <c r="F15" t="s">
        <v>98</v>
      </c>
      <c r="G15">
        <v>10</v>
      </c>
      <c r="H15" s="43">
        <v>450</v>
      </c>
    </row>
    <row r="16" spans="1:8" x14ac:dyDescent="0.2">
      <c r="A16" s="48" t="s">
        <v>62</v>
      </c>
      <c r="B16" s="48"/>
      <c r="C16" s="43">
        <f>IF(C15=F17,H17,IF(C15=F16,H16,H15))</f>
        <v>450</v>
      </c>
      <c r="D16" t="s">
        <v>34</v>
      </c>
      <c r="F16" t="s">
        <v>101</v>
      </c>
      <c r="G16">
        <v>1</v>
      </c>
      <c r="H16" s="43">
        <v>60</v>
      </c>
    </row>
    <row r="17" spans="1:8" x14ac:dyDescent="0.2">
      <c r="A17" s="48" t="s">
        <v>63</v>
      </c>
      <c r="B17" s="48"/>
      <c r="C17" s="47">
        <f>C14*C16/1000</f>
        <v>198.297</v>
      </c>
      <c r="D17" t="s">
        <v>64</v>
      </c>
      <c r="F17" t="s">
        <v>68</v>
      </c>
      <c r="G17">
        <v>0.5</v>
      </c>
      <c r="H17" s="43">
        <v>30</v>
      </c>
    </row>
    <row r="18" spans="1:8" x14ac:dyDescent="0.2">
      <c r="A18" t="s">
        <v>66</v>
      </c>
      <c r="C18" s="46">
        <v>0</v>
      </c>
      <c r="D18" t="s">
        <v>64</v>
      </c>
    </row>
    <row r="19" spans="1:8" x14ac:dyDescent="0.2">
      <c r="A19" s="19" t="s">
        <v>67</v>
      </c>
      <c r="B19" s="19"/>
      <c r="C19" s="20">
        <f>C17+C18</f>
        <v>198.297</v>
      </c>
      <c r="D19" s="19" t="s">
        <v>64</v>
      </c>
    </row>
    <row r="20" spans="1:8" x14ac:dyDescent="0.2">
      <c r="A20" s="19"/>
      <c r="B20" s="19"/>
      <c r="C20" s="20"/>
      <c r="D20" s="19"/>
    </row>
    <row r="21" spans="1:8" x14ac:dyDescent="0.2">
      <c r="A21" s="38" t="s">
        <v>69</v>
      </c>
      <c r="B21" s="38"/>
      <c r="C21" s="39">
        <f>C19</f>
        <v>198.297</v>
      </c>
      <c r="D21" s="38" t="s">
        <v>64</v>
      </c>
    </row>
    <row r="22" spans="1:8" x14ac:dyDescent="0.2">
      <c r="C22" s="18"/>
    </row>
    <row r="23" spans="1:8" ht="19" x14ac:dyDescent="0.25">
      <c r="A23" s="49" t="s">
        <v>99</v>
      </c>
      <c r="B23" s="49"/>
      <c r="C23" s="49"/>
      <c r="D23" s="49"/>
    </row>
    <row r="24" spans="1:8" x14ac:dyDescent="0.2">
      <c r="A24" s="50" t="s">
        <v>57</v>
      </c>
      <c r="B24" s="50"/>
      <c r="C24" s="50"/>
      <c r="D24" s="50"/>
    </row>
    <row r="25" spans="1:8" ht="32" customHeight="1" x14ac:dyDescent="0.2">
      <c r="A25" s="51" t="s">
        <v>100</v>
      </c>
      <c r="B25" s="51"/>
      <c r="C25" s="43">
        <v>2</v>
      </c>
      <c r="D25" t="s">
        <v>5</v>
      </c>
    </row>
    <row r="26" spans="1:8" x14ac:dyDescent="0.2">
      <c r="A26" s="48" t="s">
        <v>60</v>
      </c>
      <c r="B26" s="48"/>
      <c r="C26" s="18">
        <f>(C2*C3+C7*C25)/1000</f>
        <v>4.76</v>
      </c>
      <c r="D26" t="s">
        <v>36</v>
      </c>
    </row>
    <row r="27" spans="1:8" ht="19" customHeight="1" x14ac:dyDescent="0.2">
      <c r="A27" s="48" t="s">
        <v>61</v>
      </c>
      <c r="B27" s="48"/>
      <c r="C27" s="43" t="s">
        <v>30</v>
      </c>
    </row>
    <row r="28" spans="1:8" x14ac:dyDescent="0.2">
      <c r="A28" s="48" t="s">
        <v>62</v>
      </c>
      <c r="B28" s="48"/>
      <c r="C28" s="43">
        <f>Schichtanalyse!C44</f>
        <v>250</v>
      </c>
      <c r="D28" t="s">
        <v>34</v>
      </c>
    </row>
    <row r="29" spans="1:8" x14ac:dyDescent="0.2">
      <c r="A29" s="48" t="s">
        <v>63</v>
      </c>
      <c r="B29" s="48"/>
      <c r="C29" s="43">
        <f>C26*C28/1000</f>
        <v>1.19</v>
      </c>
      <c r="D29" t="s">
        <v>64</v>
      </c>
    </row>
    <row r="30" spans="1:8" x14ac:dyDescent="0.2">
      <c r="A30" t="s">
        <v>66</v>
      </c>
      <c r="C30" s="43">
        <f>Schichtanalyse!C39</f>
        <v>35</v>
      </c>
      <c r="D30" t="s">
        <v>64</v>
      </c>
    </row>
    <row r="31" spans="1:8" x14ac:dyDescent="0.2">
      <c r="A31" s="19" t="s">
        <v>67</v>
      </c>
      <c r="B31" s="19"/>
      <c r="C31" s="20">
        <f>C29+C30</f>
        <v>36.19</v>
      </c>
      <c r="D31" s="19" t="s">
        <v>64</v>
      </c>
    </row>
    <row r="32" spans="1:8" x14ac:dyDescent="0.2">
      <c r="C32" s="18"/>
    </row>
    <row r="33" spans="1:4" x14ac:dyDescent="0.2">
      <c r="A33" s="36" t="s">
        <v>58</v>
      </c>
      <c r="B33" s="36"/>
      <c r="C33" s="6"/>
      <c r="D33" s="36"/>
    </row>
    <row r="34" spans="1:4" x14ac:dyDescent="0.2">
      <c r="A34" s="48" t="s">
        <v>60</v>
      </c>
      <c r="B34" s="48"/>
      <c r="C34" s="18">
        <f>(C6-C25)*C7/1000</f>
        <v>435.6</v>
      </c>
      <c r="D34" t="s">
        <v>36</v>
      </c>
    </row>
    <row r="35" spans="1:4" x14ac:dyDescent="0.2">
      <c r="A35" s="48" t="s">
        <v>61</v>
      </c>
      <c r="B35" s="48"/>
      <c r="C35" s="43" t="s">
        <v>68</v>
      </c>
    </row>
    <row r="36" spans="1:4" x14ac:dyDescent="0.2">
      <c r="A36" s="48" t="s">
        <v>62</v>
      </c>
      <c r="B36" s="48"/>
      <c r="C36" s="43">
        <f>Schichtanalyse!C47</f>
        <v>30</v>
      </c>
      <c r="D36" t="s">
        <v>65</v>
      </c>
    </row>
    <row r="37" spans="1:4" x14ac:dyDescent="0.2">
      <c r="A37" s="48" t="s">
        <v>63</v>
      </c>
      <c r="B37" s="48"/>
      <c r="C37" s="47">
        <f>C34*C36/1000</f>
        <v>13.068</v>
      </c>
      <c r="D37" t="s">
        <v>64</v>
      </c>
    </row>
    <row r="38" spans="1:4" x14ac:dyDescent="0.2">
      <c r="A38" s="19" t="s">
        <v>67</v>
      </c>
      <c r="B38" s="19"/>
      <c r="C38" s="20">
        <f>C37</f>
        <v>13.068</v>
      </c>
      <c r="D38" s="19" t="s">
        <v>64</v>
      </c>
    </row>
    <row r="40" spans="1:4" x14ac:dyDescent="0.2">
      <c r="A40" s="38" t="s">
        <v>69</v>
      </c>
      <c r="B40" s="38"/>
      <c r="C40" s="39">
        <f>C31+C38</f>
        <v>49.257999999999996</v>
      </c>
      <c r="D40" s="38" t="s">
        <v>64</v>
      </c>
    </row>
    <row r="49" spans="1:5" s="45" customFormat="1" x14ac:dyDescent="0.2">
      <c r="A49" s="44" t="s">
        <v>87</v>
      </c>
      <c r="C49" s="44" t="s">
        <v>91</v>
      </c>
      <c r="D49" s="44" t="s">
        <v>92</v>
      </c>
    </row>
    <row r="50" spans="1:5" x14ac:dyDescent="0.2">
      <c r="B50" t="s">
        <v>85</v>
      </c>
      <c r="C50">
        <v>2000</v>
      </c>
      <c r="D50">
        <v>2200</v>
      </c>
      <c r="E50" t="s">
        <v>6</v>
      </c>
    </row>
    <row r="51" spans="1:5" x14ac:dyDescent="0.2">
      <c r="B51" t="s">
        <v>86</v>
      </c>
      <c r="C51">
        <v>2000</v>
      </c>
      <c r="D51">
        <v>2100</v>
      </c>
      <c r="E51" t="s">
        <v>6</v>
      </c>
    </row>
    <row r="52" spans="1:5" x14ac:dyDescent="0.2">
      <c r="B52" t="s">
        <v>88</v>
      </c>
      <c r="C52">
        <v>950</v>
      </c>
      <c r="D52">
        <v>1100</v>
      </c>
      <c r="E52" t="s">
        <v>6</v>
      </c>
    </row>
    <row r="53" spans="1:5" x14ac:dyDescent="0.2">
      <c r="B53" t="s">
        <v>93</v>
      </c>
      <c r="C53">
        <v>1000</v>
      </c>
      <c r="D53">
        <v>1500</v>
      </c>
      <c r="E53" t="s">
        <v>6</v>
      </c>
    </row>
    <row r="54" spans="1:5" x14ac:dyDescent="0.2">
      <c r="B54" t="s">
        <v>90</v>
      </c>
      <c r="C54">
        <v>1000</v>
      </c>
      <c r="D54">
        <v>1500</v>
      </c>
      <c r="E54" t="s">
        <v>6</v>
      </c>
    </row>
    <row r="55" spans="1:5" x14ac:dyDescent="0.2">
      <c r="B55" t="s">
        <v>89</v>
      </c>
      <c r="C55">
        <v>1000</v>
      </c>
      <c r="D55">
        <v>3000</v>
      </c>
      <c r="E55" t="s">
        <v>6</v>
      </c>
    </row>
  </sheetData>
  <mergeCells count="20">
    <mergeCell ref="A1:D1"/>
    <mergeCell ref="A13:D13"/>
    <mergeCell ref="A14:B14"/>
    <mergeCell ref="A15:B15"/>
    <mergeCell ref="A16:B16"/>
    <mergeCell ref="A2:A4"/>
    <mergeCell ref="A6:A7"/>
    <mergeCell ref="A9:A11"/>
    <mergeCell ref="A23:D23"/>
    <mergeCell ref="A29:B29"/>
    <mergeCell ref="A24:D24"/>
    <mergeCell ref="A25:B25"/>
    <mergeCell ref="A17:B17"/>
    <mergeCell ref="A34:B34"/>
    <mergeCell ref="A35:B35"/>
    <mergeCell ref="A36:B36"/>
    <mergeCell ref="A37:B37"/>
    <mergeCell ref="A26:B26"/>
    <mergeCell ref="A27:B27"/>
    <mergeCell ref="A28:B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4D8AF-D16D-EC4D-BCD8-D81E8235916B}">
  <dimension ref="A1:Y53"/>
  <sheetViews>
    <sheetView zoomScale="75" zoomScaleNormal="80" workbookViewId="0">
      <selection activeCell="C24" sqref="C24"/>
    </sheetView>
  </sheetViews>
  <sheetFormatPr baseColWidth="10" defaultRowHeight="16" x14ac:dyDescent="0.2"/>
  <cols>
    <col min="1" max="1" width="6.1640625" customWidth="1"/>
    <col min="2" max="2" width="23.1640625" customWidth="1"/>
    <col min="3" max="3" width="10.83203125" customWidth="1"/>
    <col min="5" max="5" width="7.33203125" customWidth="1"/>
    <col min="6" max="6" width="10" customWidth="1"/>
    <col min="7" max="7" width="25.1640625" customWidth="1"/>
    <col min="8" max="8" width="8.33203125" customWidth="1"/>
    <col min="9" max="9" width="9.33203125" customWidth="1"/>
    <col min="10" max="10" width="10.83203125" customWidth="1"/>
    <col min="11" max="11" width="4.6640625" customWidth="1"/>
    <col min="12" max="12" width="10" customWidth="1"/>
    <col min="13" max="13" width="25" customWidth="1"/>
    <col min="14" max="14" width="9.1640625" customWidth="1"/>
    <col min="15" max="15" width="9" customWidth="1"/>
    <col min="18" max="18" width="24.1640625" customWidth="1"/>
    <col min="20" max="20" width="9" customWidth="1"/>
    <col min="23" max="23" width="24.83203125" customWidth="1"/>
    <col min="25" max="25" width="9.1640625" customWidth="1"/>
  </cols>
  <sheetData>
    <row r="1" spans="1:22" s="10" customFormat="1" ht="19" x14ac:dyDescent="0.25">
      <c r="A1" s="21" t="s">
        <v>37</v>
      </c>
      <c r="E1" s="22"/>
      <c r="F1" s="10" t="s">
        <v>39</v>
      </c>
      <c r="K1" s="22"/>
      <c r="L1" s="10" t="s">
        <v>53</v>
      </c>
      <c r="Q1" s="10" t="s">
        <v>54</v>
      </c>
      <c r="V1" s="10" t="s">
        <v>55</v>
      </c>
    </row>
    <row r="2" spans="1:22" ht="16" customHeight="1" x14ac:dyDescent="0.2">
      <c r="A2" s="53" t="s">
        <v>11</v>
      </c>
      <c r="B2" s="2" t="s">
        <v>0</v>
      </c>
      <c r="C2" s="43">
        <v>0.3</v>
      </c>
      <c r="D2" s="2" t="s">
        <v>5</v>
      </c>
      <c r="F2" s="55" t="s">
        <v>11</v>
      </c>
      <c r="G2" s="4" t="s">
        <v>35</v>
      </c>
      <c r="H2" s="4">
        <f>C2</f>
        <v>0.3</v>
      </c>
      <c r="I2" s="4" t="s">
        <v>5</v>
      </c>
      <c r="L2" s="55" t="s">
        <v>20</v>
      </c>
      <c r="Q2" s="55" t="s">
        <v>106</v>
      </c>
      <c r="V2" s="55" t="s">
        <v>107</v>
      </c>
    </row>
    <row r="3" spans="1:22" x14ac:dyDescent="0.2">
      <c r="A3" s="53"/>
      <c r="B3" s="2" t="s">
        <v>1</v>
      </c>
      <c r="C3" s="43">
        <v>1200</v>
      </c>
      <c r="D3" s="2" t="s">
        <v>6</v>
      </c>
      <c r="F3" s="55"/>
      <c r="G3" s="4" t="s">
        <v>51</v>
      </c>
      <c r="H3" s="4">
        <f>C3</f>
        <v>1200</v>
      </c>
      <c r="I3" s="4" t="s">
        <v>6</v>
      </c>
      <c r="L3" s="55"/>
      <c r="Q3" s="55"/>
      <c r="V3" s="55"/>
    </row>
    <row r="4" spans="1:22" x14ac:dyDescent="0.2">
      <c r="A4" s="53"/>
      <c r="B4" s="2" t="s">
        <v>2</v>
      </c>
      <c r="C4" s="43">
        <v>12000</v>
      </c>
      <c r="D4" s="2" t="s">
        <v>7</v>
      </c>
      <c r="F4" s="55"/>
      <c r="G4" s="4" t="s">
        <v>49</v>
      </c>
      <c r="H4" s="4">
        <f>H2*H3/1000</f>
        <v>0.36</v>
      </c>
      <c r="I4" s="4" t="s">
        <v>36</v>
      </c>
      <c r="L4" s="55"/>
      <c r="Q4" s="55"/>
      <c r="V4" s="55"/>
    </row>
    <row r="5" spans="1:22" x14ac:dyDescent="0.2">
      <c r="A5" s="1"/>
      <c r="F5" s="17"/>
      <c r="G5" s="5" t="s">
        <v>22</v>
      </c>
      <c r="H5" s="5">
        <f>C4</f>
        <v>12000</v>
      </c>
      <c r="I5" s="5" t="s">
        <v>7</v>
      </c>
      <c r="J5" s="14"/>
      <c r="L5" s="55"/>
      <c r="M5" s="4" t="s">
        <v>13</v>
      </c>
      <c r="N5" s="9">
        <f>C2+C6</f>
        <v>5.3</v>
      </c>
      <c r="O5" s="4" t="s">
        <v>5</v>
      </c>
      <c r="P5" s="14"/>
      <c r="Q5" s="55"/>
      <c r="V5" s="55"/>
    </row>
    <row r="6" spans="1:22" ht="16" customHeight="1" x14ac:dyDescent="0.2">
      <c r="A6" s="54" t="s">
        <v>14</v>
      </c>
      <c r="B6" s="11" t="s">
        <v>3</v>
      </c>
      <c r="C6" s="43">
        <v>5</v>
      </c>
      <c r="D6" s="11" t="s">
        <v>5</v>
      </c>
      <c r="F6" s="56" t="s">
        <v>21</v>
      </c>
      <c r="G6" s="19"/>
      <c r="H6" s="20"/>
      <c r="J6" s="14">
        <f>J4+J5</f>
        <v>0</v>
      </c>
      <c r="L6" s="55"/>
      <c r="M6" s="4" t="s">
        <v>24</v>
      </c>
      <c r="N6" s="34">
        <f>(C2*C3+C6*C7)/N5</f>
        <v>2143.3962264150946</v>
      </c>
      <c r="O6" s="4" t="s">
        <v>6</v>
      </c>
      <c r="Q6" s="55"/>
      <c r="V6" s="55"/>
    </row>
    <row r="7" spans="1:22" x14ac:dyDescent="0.2">
      <c r="A7" s="54"/>
      <c r="B7" s="11" t="s">
        <v>50</v>
      </c>
      <c r="C7" s="43">
        <v>2200</v>
      </c>
      <c r="D7" s="11" t="s">
        <v>6</v>
      </c>
      <c r="F7" s="56"/>
      <c r="L7" s="55"/>
      <c r="M7" s="4" t="s">
        <v>49</v>
      </c>
      <c r="N7" s="4">
        <f>N5*N6/1000</f>
        <v>11.360000000000001</v>
      </c>
      <c r="O7" s="4" t="s">
        <v>36</v>
      </c>
      <c r="Q7" s="55"/>
      <c r="V7" s="55"/>
    </row>
    <row r="8" spans="1:22" x14ac:dyDescent="0.2">
      <c r="A8" s="54"/>
      <c r="B8" s="11" t="s">
        <v>15</v>
      </c>
      <c r="C8" s="43">
        <v>80</v>
      </c>
      <c r="D8" s="11" t="s">
        <v>7</v>
      </c>
      <c r="F8" s="56"/>
      <c r="L8" s="55"/>
      <c r="M8" s="5" t="s">
        <v>22</v>
      </c>
      <c r="N8" s="6">
        <f>(C2*C3*C4+C6*C7*C8)/N7/1000</f>
        <v>457.74647887323937</v>
      </c>
      <c r="O8" s="4" t="s">
        <v>7</v>
      </c>
      <c r="Q8" s="55"/>
      <c r="V8" s="55"/>
    </row>
    <row r="9" spans="1:22" x14ac:dyDescent="0.2">
      <c r="A9" s="1"/>
      <c r="F9" s="56"/>
      <c r="Q9" s="55"/>
      <c r="V9" s="55"/>
    </row>
    <row r="10" spans="1:22" ht="16" customHeight="1" x14ac:dyDescent="0.2">
      <c r="A10" s="57" t="s">
        <v>23</v>
      </c>
      <c r="B10" s="57"/>
      <c r="C10" s="43">
        <v>2</v>
      </c>
      <c r="D10" s="8" t="s">
        <v>5</v>
      </c>
      <c r="F10" s="56"/>
      <c r="L10" s="56" t="s">
        <v>21</v>
      </c>
      <c r="Q10" s="55"/>
      <c r="V10" s="55"/>
    </row>
    <row r="11" spans="1:22" ht="17" x14ac:dyDescent="0.2">
      <c r="A11" s="7"/>
      <c r="B11" s="7" t="s">
        <v>50</v>
      </c>
      <c r="C11" s="31">
        <f>C7</f>
        <v>2200</v>
      </c>
      <c r="D11" s="8" t="s">
        <v>6</v>
      </c>
      <c r="F11" s="56"/>
      <c r="L11" s="56"/>
      <c r="Q11" s="55"/>
      <c r="V11" s="55"/>
    </row>
    <row r="12" spans="1:22" ht="17" x14ac:dyDescent="0.2">
      <c r="A12" s="7"/>
      <c r="B12" s="7" t="s">
        <v>22</v>
      </c>
      <c r="C12" s="31">
        <f>(C8+C16)/2</f>
        <v>42.5</v>
      </c>
      <c r="D12" s="8" t="s">
        <v>7</v>
      </c>
      <c r="F12" s="56"/>
      <c r="L12" s="56"/>
      <c r="Q12" s="55"/>
      <c r="V12" s="55"/>
    </row>
    <row r="13" spans="1:22" x14ac:dyDescent="0.2">
      <c r="A13" s="1"/>
      <c r="F13" s="56"/>
      <c r="L13" s="56"/>
      <c r="Q13" s="55"/>
      <c r="R13" s="4" t="s">
        <v>13</v>
      </c>
      <c r="S13" s="9">
        <f>C2+C6+C10+C14</f>
        <v>12.3</v>
      </c>
      <c r="T13" s="4" t="s">
        <v>5</v>
      </c>
      <c r="V13" s="55"/>
    </row>
    <row r="14" spans="1:22" x14ac:dyDescent="0.2">
      <c r="A14" s="54" t="s">
        <v>17</v>
      </c>
      <c r="B14" s="11" t="s">
        <v>3</v>
      </c>
      <c r="C14" s="43">
        <v>5</v>
      </c>
      <c r="D14" s="11" t="s">
        <v>5</v>
      </c>
      <c r="F14" s="56"/>
      <c r="L14" s="56"/>
      <c r="Q14" s="55"/>
      <c r="R14" s="4" t="s">
        <v>24</v>
      </c>
      <c r="S14" s="34">
        <f>(C2*C3+C6*C7+C10*C11+C14*C15)/(S13)</f>
        <v>2175.6097560975609</v>
      </c>
      <c r="T14" s="4" t="s">
        <v>6</v>
      </c>
      <c r="V14" s="55"/>
    </row>
    <row r="15" spans="1:22" x14ac:dyDescent="0.2">
      <c r="A15" s="54"/>
      <c r="B15" s="11" t="s">
        <v>50</v>
      </c>
      <c r="C15" s="11">
        <f>C7</f>
        <v>2200</v>
      </c>
      <c r="D15" s="11" t="s">
        <v>6</v>
      </c>
      <c r="F15" s="56"/>
      <c r="L15" s="56"/>
      <c r="Q15" s="55"/>
      <c r="R15" s="4" t="s">
        <v>49</v>
      </c>
      <c r="S15" s="4">
        <f>S13*S14/1000</f>
        <v>26.76</v>
      </c>
      <c r="T15" s="4" t="s">
        <v>36</v>
      </c>
      <c r="V15" s="55"/>
    </row>
    <row r="16" spans="1:22" x14ac:dyDescent="0.2">
      <c r="A16" s="54"/>
      <c r="B16" s="11" t="s">
        <v>15</v>
      </c>
      <c r="C16" s="43">
        <v>5</v>
      </c>
      <c r="D16" s="11" t="s">
        <v>7</v>
      </c>
      <c r="F16" s="56"/>
      <c r="L16" s="56"/>
      <c r="Q16" s="55"/>
      <c r="R16" s="5" t="s">
        <v>22</v>
      </c>
      <c r="S16" s="6">
        <f>(C2*C3*C4+C6*C7*C8+C10*C11*C12+C14*C15*C16)/S15/1000</f>
        <v>203.36322869955154</v>
      </c>
      <c r="T16" s="4" t="s">
        <v>7</v>
      </c>
      <c r="V16" s="55"/>
    </row>
    <row r="17" spans="1:25" x14ac:dyDescent="0.2">
      <c r="A17" s="1"/>
      <c r="F17" s="56"/>
      <c r="L17" s="56"/>
      <c r="V17" s="55"/>
    </row>
    <row r="18" spans="1:25" ht="16" customHeight="1" x14ac:dyDescent="0.2">
      <c r="A18" s="57" t="s">
        <v>16</v>
      </c>
      <c r="B18" s="57"/>
      <c r="C18" s="43">
        <v>2</v>
      </c>
      <c r="D18" s="8" t="s">
        <v>5</v>
      </c>
      <c r="F18" s="56"/>
      <c r="L18" s="56"/>
      <c r="Q18" s="56" t="s">
        <v>21</v>
      </c>
      <c r="V18" s="55"/>
    </row>
    <row r="19" spans="1:25" ht="17" x14ac:dyDescent="0.2">
      <c r="A19" s="7"/>
      <c r="B19" s="7" t="s">
        <v>50</v>
      </c>
      <c r="C19" s="31">
        <f>C7</f>
        <v>2200</v>
      </c>
      <c r="D19" s="8" t="s">
        <v>6</v>
      </c>
      <c r="F19" s="56"/>
      <c r="J19" s="14"/>
      <c r="L19" s="56"/>
      <c r="Q19" s="56"/>
      <c r="V19" s="55"/>
    </row>
    <row r="20" spans="1:25" ht="17" x14ac:dyDescent="0.2">
      <c r="A20" s="7"/>
      <c r="B20" s="7" t="s">
        <v>22</v>
      </c>
      <c r="C20" s="31">
        <f>(C16+C24)/2</f>
        <v>3</v>
      </c>
      <c r="D20" s="8" t="s">
        <v>7</v>
      </c>
      <c r="F20" s="56"/>
      <c r="J20" s="14"/>
      <c r="L20" s="56"/>
      <c r="Q20" s="56"/>
      <c r="V20" s="55"/>
      <c r="W20" s="4" t="s">
        <v>13</v>
      </c>
      <c r="X20" s="9">
        <f>C2+C6+C10+C14+C18+C22</f>
        <v>19.3</v>
      </c>
      <c r="Y20" s="4" t="s">
        <v>5</v>
      </c>
    </row>
    <row r="21" spans="1:25" x14ac:dyDescent="0.2">
      <c r="A21" s="1"/>
      <c r="F21" s="56"/>
      <c r="L21" s="56"/>
      <c r="Q21" s="56"/>
      <c r="V21" s="55"/>
      <c r="W21" s="4" t="s">
        <v>24</v>
      </c>
      <c r="X21" s="34">
        <f>(C2*C3+C6*C7+C10*C11+C14*C15+C18*C19+C22*C23)/(X20)</f>
        <v>2184.4559585492229</v>
      </c>
      <c r="Y21" s="4" t="s">
        <v>6</v>
      </c>
    </row>
    <row r="22" spans="1:25" ht="16" customHeight="1" x14ac:dyDescent="0.2">
      <c r="A22" s="54" t="s">
        <v>18</v>
      </c>
      <c r="B22" s="11" t="s">
        <v>3</v>
      </c>
      <c r="C22" s="43">
        <v>5</v>
      </c>
      <c r="D22" s="11" t="s">
        <v>5</v>
      </c>
      <c r="F22" s="56"/>
      <c r="L22" s="56"/>
      <c r="Q22" s="56"/>
      <c r="V22" s="55"/>
      <c r="W22" s="4" t="s">
        <v>49</v>
      </c>
      <c r="X22" s="4">
        <f>X20*X21/1000</f>
        <v>42.160000000000011</v>
      </c>
      <c r="Y22" s="4" t="s">
        <v>36</v>
      </c>
    </row>
    <row r="23" spans="1:25" x14ac:dyDescent="0.2">
      <c r="A23" s="54"/>
      <c r="B23" s="11" t="s">
        <v>50</v>
      </c>
      <c r="C23" s="11">
        <f>C7</f>
        <v>2200</v>
      </c>
      <c r="D23" s="11" t="s">
        <v>6</v>
      </c>
      <c r="F23" s="56"/>
      <c r="L23" s="56"/>
      <c r="Q23" s="56"/>
      <c r="V23" s="55"/>
      <c r="W23" s="5" t="s">
        <v>22</v>
      </c>
      <c r="X23" s="6">
        <f>(C2*C3*C4+C6*C7*C8+C10*C11*C12+C14*C15*C16+C18*C19*C20+C22*C23*C24)/X22/1000</f>
        <v>129.65370018975329</v>
      </c>
      <c r="Y23" s="4" t="s">
        <v>7</v>
      </c>
    </row>
    <row r="24" spans="1:25" x14ac:dyDescent="0.2">
      <c r="A24" s="54"/>
      <c r="B24" s="11" t="s">
        <v>15</v>
      </c>
      <c r="C24" s="43">
        <v>1</v>
      </c>
      <c r="D24" s="11" t="s">
        <v>7</v>
      </c>
      <c r="F24" s="56"/>
      <c r="L24" s="56"/>
      <c r="Q24" s="56"/>
    </row>
    <row r="25" spans="1:25" x14ac:dyDescent="0.2">
      <c r="A25" s="1"/>
      <c r="F25" s="56"/>
      <c r="G25" s="3" t="s">
        <v>35</v>
      </c>
      <c r="H25" s="3">
        <f>C6+C10+C14+C18+C22+C26</f>
        <v>200</v>
      </c>
      <c r="I25" s="3" t="s">
        <v>5</v>
      </c>
      <c r="L25" s="56"/>
      <c r="M25" s="3" t="s">
        <v>35</v>
      </c>
      <c r="N25" s="3">
        <f>C10+C14+C18+C22+C26</f>
        <v>195</v>
      </c>
      <c r="O25" s="3" t="s">
        <v>5</v>
      </c>
      <c r="Q25" s="56"/>
      <c r="R25" s="3" t="s">
        <v>35</v>
      </c>
      <c r="S25" s="3">
        <f>C18+C22+C26</f>
        <v>188</v>
      </c>
      <c r="T25" s="3" t="s">
        <v>5</v>
      </c>
      <c r="V25" s="56" t="s">
        <v>56</v>
      </c>
      <c r="W25" s="3" t="s">
        <v>35</v>
      </c>
      <c r="X25" s="3">
        <f>C26</f>
        <v>181</v>
      </c>
      <c r="Y25" s="3" t="s">
        <v>5</v>
      </c>
    </row>
    <row r="26" spans="1:25" x14ac:dyDescent="0.2">
      <c r="A26" s="57" t="s">
        <v>19</v>
      </c>
      <c r="B26" s="57"/>
      <c r="C26" s="43">
        <v>181</v>
      </c>
      <c r="D26" s="8" t="s">
        <v>5</v>
      </c>
      <c r="F26" s="56"/>
      <c r="G26" s="3" t="s">
        <v>51</v>
      </c>
      <c r="H26" s="3">
        <f>C7</f>
        <v>2200</v>
      </c>
      <c r="I26" s="3" t="s">
        <v>6</v>
      </c>
      <c r="L26" s="56"/>
      <c r="M26" s="3" t="s">
        <v>51</v>
      </c>
      <c r="N26" s="3">
        <f>C7</f>
        <v>2200</v>
      </c>
      <c r="O26" s="3" t="s">
        <v>6</v>
      </c>
      <c r="Q26" s="56"/>
      <c r="R26" s="3" t="s">
        <v>51</v>
      </c>
      <c r="S26" s="3">
        <f>C7</f>
        <v>2200</v>
      </c>
      <c r="T26" s="3" t="s">
        <v>6</v>
      </c>
      <c r="V26" s="56"/>
      <c r="W26" s="3" t="s">
        <v>51</v>
      </c>
      <c r="X26" s="3">
        <f>C7</f>
        <v>2200</v>
      </c>
      <c r="Y26" s="3" t="s">
        <v>6</v>
      </c>
    </row>
    <row r="27" spans="1:25" ht="17" x14ac:dyDescent="0.2">
      <c r="A27" s="7"/>
      <c r="B27" s="7" t="s">
        <v>50</v>
      </c>
      <c r="C27" s="31">
        <f>C7</f>
        <v>2200</v>
      </c>
      <c r="D27" s="8" t="s">
        <v>6</v>
      </c>
      <c r="F27" s="56"/>
      <c r="G27" s="3" t="s">
        <v>49</v>
      </c>
      <c r="H27" s="33">
        <f>H25*H26/1000</f>
        <v>440</v>
      </c>
      <c r="I27" s="3" t="s">
        <v>36</v>
      </c>
      <c r="L27" s="56"/>
      <c r="M27" s="3" t="s">
        <v>49</v>
      </c>
      <c r="N27" s="33">
        <f>N25*N26/1000</f>
        <v>429</v>
      </c>
      <c r="O27" s="3" t="s">
        <v>36</v>
      </c>
      <c r="Q27" s="56"/>
      <c r="R27" s="3" t="s">
        <v>49</v>
      </c>
      <c r="S27" s="33">
        <f>S25*S26/1000</f>
        <v>413.6</v>
      </c>
      <c r="T27" s="3" t="s">
        <v>36</v>
      </c>
      <c r="V27" s="56"/>
      <c r="W27" s="3" t="s">
        <v>49</v>
      </c>
      <c r="X27" s="33">
        <f>X25*X26/1000</f>
        <v>398.2</v>
      </c>
      <c r="Y27" s="3" t="s">
        <v>36</v>
      </c>
    </row>
    <row r="28" spans="1:25" ht="17" x14ac:dyDescent="0.2">
      <c r="A28" s="7"/>
      <c r="B28" s="7" t="s">
        <v>22</v>
      </c>
      <c r="C28" s="31">
        <v>0</v>
      </c>
      <c r="D28" s="8" t="s">
        <v>7</v>
      </c>
      <c r="F28" s="56"/>
      <c r="G28" s="12" t="s">
        <v>22</v>
      </c>
      <c r="H28" s="13">
        <f>(C6*C8+C10*C12+C14*C16+C18*C20+C22*C24+C26*C28)/H25</f>
        <v>2.605</v>
      </c>
      <c r="I28" s="3" t="s">
        <v>7</v>
      </c>
      <c r="L28" s="56"/>
      <c r="M28" s="12" t="s">
        <v>22</v>
      </c>
      <c r="N28" s="13">
        <f>(C10*C12+C14*C16+C18*C20+C22*C24+C26*C28)/N25</f>
        <v>0.62051282051282053</v>
      </c>
      <c r="O28" s="3" t="s">
        <v>7</v>
      </c>
      <c r="Q28" s="56"/>
      <c r="R28" s="12" t="s">
        <v>22</v>
      </c>
      <c r="S28" s="35">
        <f>(C18*C20+C22*C24+C26*C28)/S25</f>
        <v>5.8510638297872342E-2</v>
      </c>
      <c r="T28" s="3" t="s">
        <v>7</v>
      </c>
      <c r="V28" s="56"/>
      <c r="W28" s="12" t="s">
        <v>22</v>
      </c>
      <c r="X28" s="35">
        <f>C28</f>
        <v>0</v>
      </c>
      <c r="Y28" s="3" t="s">
        <v>7</v>
      </c>
    </row>
    <row r="29" spans="1:25" x14ac:dyDescent="0.2">
      <c r="A29" s="1"/>
    </row>
    <row r="30" spans="1:25" ht="16" customHeight="1" x14ac:dyDescent="0.2">
      <c r="A30" s="55" t="s">
        <v>10</v>
      </c>
      <c r="B30" s="4" t="s">
        <v>13</v>
      </c>
      <c r="C30" s="4">
        <f>C2+C6+C10+C14+C18+C22+C26</f>
        <v>200.3</v>
      </c>
      <c r="D30" s="4" t="s">
        <v>5</v>
      </c>
      <c r="F30" s="55" t="s">
        <v>10</v>
      </c>
      <c r="G30" s="4" t="s">
        <v>13</v>
      </c>
      <c r="H30" s="4">
        <f>H2+H25</f>
        <v>200.3</v>
      </c>
      <c r="I30" s="4" t="s">
        <v>5</v>
      </c>
      <c r="L30" s="55" t="s">
        <v>10</v>
      </c>
      <c r="M30" s="4" t="s">
        <v>13</v>
      </c>
      <c r="N30" s="9">
        <f>N5+N25</f>
        <v>200.3</v>
      </c>
      <c r="O30" s="4" t="s">
        <v>5</v>
      </c>
      <c r="Q30" s="55" t="s">
        <v>10</v>
      </c>
      <c r="R30" s="4" t="s">
        <v>13</v>
      </c>
      <c r="S30" s="9">
        <f>S13+S25</f>
        <v>200.3</v>
      </c>
      <c r="T30" s="4" t="s">
        <v>5</v>
      </c>
      <c r="V30" s="55" t="s">
        <v>10</v>
      </c>
      <c r="W30" s="4" t="s">
        <v>13</v>
      </c>
      <c r="X30" s="9">
        <f>X20+X25</f>
        <v>200.3</v>
      </c>
      <c r="Y30" s="4" t="s">
        <v>5</v>
      </c>
    </row>
    <row r="31" spans="1:25" x14ac:dyDescent="0.2">
      <c r="A31" s="55"/>
      <c r="B31" s="4" t="s">
        <v>8</v>
      </c>
      <c r="C31" s="34">
        <f>(C2*C3+C6*C7+C10*C11+C14*C15+C18*C19+C22*C23+C26*C27)/C30</f>
        <v>2198.5022466300547</v>
      </c>
      <c r="D31" s="4" t="s">
        <v>6</v>
      </c>
      <c r="F31" s="55"/>
      <c r="G31" s="4" t="s">
        <v>8</v>
      </c>
      <c r="H31" s="4">
        <f>(H2*H3+H25*H26)/(H2+H25)</f>
        <v>2198.5022466300547</v>
      </c>
      <c r="I31" s="4" t="s">
        <v>6</v>
      </c>
      <c r="L31" s="55"/>
      <c r="M31" s="4" t="s">
        <v>8</v>
      </c>
      <c r="N31" s="34">
        <f>(N5*N6+N25*N26)/(N5+N25)</f>
        <v>2198.5022466300547</v>
      </c>
      <c r="O31" s="4" t="s">
        <v>6</v>
      </c>
      <c r="Q31" s="55"/>
      <c r="R31" s="4" t="s">
        <v>8</v>
      </c>
      <c r="S31" s="34">
        <f>(S13*S14+S25*S26)/S30</f>
        <v>2198.5022466300547</v>
      </c>
      <c r="T31" s="4" t="s">
        <v>6</v>
      </c>
      <c r="V31" s="55"/>
      <c r="W31" s="4" t="s">
        <v>8</v>
      </c>
      <c r="X31" s="34">
        <f>(X20*X21+X25*X26)/X30</f>
        <v>2198.5022466300547</v>
      </c>
      <c r="Y31" s="4" t="s">
        <v>6</v>
      </c>
    </row>
    <row r="32" spans="1:25" x14ac:dyDescent="0.2">
      <c r="A32" s="55"/>
      <c r="B32" s="5" t="s">
        <v>9</v>
      </c>
      <c r="C32" s="6">
        <f>(C2*C3*C4+C6*C7*C8+C10*C11*C12+C14*C15*C16+C18*C19*C20+C22*C23*C24+C26*C27*C28)/(C2*C3+C6*C7+C10*C11+C14*C15+C18*C19+C22*C23+C26*C27)</f>
        <v>12.413025706240349</v>
      </c>
      <c r="D32" s="4" t="s">
        <v>7</v>
      </c>
      <c r="F32" s="55"/>
      <c r="G32" s="5" t="s">
        <v>9</v>
      </c>
      <c r="H32" s="6">
        <f>(H2*H3*H5+H25*H26*H28)/(H2*H3+H25*H26)</f>
        <v>12.413025706240349</v>
      </c>
      <c r="I32" s="4" t="s">
        <v>7</v>
      </c>
      <c r="L32" s="55"/>
      <c r="M32" s="5" t="s">
        <v>9</v>
      </c>
      <c r="N32" s="6">
        <f>(N5*N6*N8+N25*N26*N28)/(N5*N6+N25*N26)</f>
        <v>12.413025706240349</v>
      </c>
      <c r="O32" s="4" t="s">
        <v>7</v>
      </c>
      <c r="Q32" s="55"/>
      <c r="R32" s="5" t="s">
        <v>9</v>
      </c>
      <c r="S32" s="6">
        <f>(S13*S14*S16+S25*S26*S28)/(S13*S14+S25*S26)</f>
        <v>12.413025706240347</v>
      </c>
      <c r="T32" s="4" t="s">
        <v>7</v>
      </c>
      <c r="V32" s="55"/>
      <c r="W32" s="5" t="s">
        <v>9</v>
      </c>
      <c r="X32" s="6">
        <f>(X20*X21*X23+X25*X26*X28)/(X20*X21+X25*X26)</f>
        <v>12.413025706240349</v>
      </c>
      <c r="Y32" s="4" t="s">
        <v>7</v>
      </c>
    </row>
    <row r="33" spans="1:25" x14ac:dyDescent="0.2">
      <c r="A33" s="55"/>
      <c r="B33" s="4" t="s">
        <v>108</v>
      </c>
      <c r="C33" s="34">
        <f>(C2*C3+C6*C7+C10*C11+C14*C15+C18*C19+C22*C23+C26*C27)/1000</f>
        <v>440.36</v>
      </c>
      <c r="D33" s="4" t="s">
        <v>36</v>
      </c>
      <c r="F33" s="55"/>
      <c r="G33" s="4" t="s">
        <v>52</v>
      </c>
      <c r="H33" s="34">
        <f>H4+H27</f>
        <v>440.36</v>
      </c>
      <c r="I33" s="4" t="s">
        <v>36</v>
      </c>
      <c r="L33" s="55"/>
      <c r="M33" s="4" t="s">
        <v>52</v>
      </c>
      <c r="N33" s="34">
        <f>N7+N27</f>
        <v>440.36</v>
      </c>
      <c r="O33" s="4" t="s">
        <v>36</v>
      </c>
      <c r="Q33" s="55"/>
      <c r="R33" s="4" t="s">
        <v>52</v>
      </c>
      <c r="S33" s="34">
        <f>S15+S27</f>
        <v>440.36</v>
      </c>
      <c r="T33" s="4" t="s">
        <v>36</v>
      </c>
      <c r="V33" s="55"/>
      <c r="W33" s="4" t="s">
        <v>52</v>
      </c>
      <c r="X33" s="34">
        <f>X22+X27</f>
        <v>440.36</v>
      </c>
      <c r="Y33" s="4" t="s">
        <v>36</v>
      </c>
    </row>
    <row r="37" spans="1:25" ht="19" customHeight="1" x14ac:dyDescent="0.25">
      <c r="A37" s="49" t="s">
        <v>38</v>
      </c>
      <c r="B37" s="49"/>
      <c r="C37" s="49"/>
      <c r="D37" s="49"/>
      <c r="F37" s="49" t="s">
        <v>59</v>
      </c>
      <c r="G37" s="49"/>
      <c r="H37" s="49"/>
      <c r="I37" s="49"/>
      <c r="L37" s="49" t="s">
        <v>59</v>
      </c>
      <c r="M37" s="49"/>
      <c r="N37" s="49"/>
      <c r="O37" s="49"/>
      <c r="Q37" s="49" t="s">
        <v>59</v>
      </c>
      <c r="R37" s="49"/>
      <c r="S37" s="49"/>
      <c r="T37" s="49"/>
      <c r="V37" s="49" t="s">
        <v>59</v>
      </c>
      <c r="W37" s="49"/>
      <c r="X37" s="49"/>
      <c r="Y37" s="49"/>
    </row>
    <row r="38" spans="1:25" x14ac:dyDescent="0.2">
      <c r="A38" s="15" t="s">
        <v>25</v>
      </c>
      <c r="B38" s="16"/>
      <c r="C38" s="16"/>
      <c r="D38" s="16"/>
      <c r="F38" s="36" t="s">
        <v>57</v>
      </c>
      <c r="G38" s="37"/>
      <c r="H38" s="37"/>
      <c r="I38" s="37"/>
      <c r="L38" s="36" t="s">
        <v>57</v>
      </c>
      <c r="M38" s="37"/>
      <c r="N38" s="37"/>
      <c r="O38" s="37"/>
      <c r="Q38" s="36" t="s">
        <v>57</v>
      </c>
      <c r="R38" s="37"/>
      <c r="S38" s="37"/>
      <c r="T38" s="37"/>
      <c r="V38" s="36" t="s">
        <v>57</v>
      </c>
      <c r="W38" s="37"/>
      <c r="X38" s="37"/>
      <c r="Y38" s="37"/>
    </row>
    <row r="39" spans="1:25" x14ac:dyDescent="0.2">
      <c r="A39" s="48" t="s">
        <v>26</v>
      </c>
      <c r="B39" s="48"/>
      <c r="C39" s="43">
        <v>35</v>
      </c>
      <c r="D39" t="s">
        <v>64</v>
      </c>
      <c r="F39" s="48" t="s">
        <v>60</v>
      </c>
      <c r="G39" s="48"/>
      <c r="H39" s="18">
        <f>H4</f>
        <v>0.36</v>
      </c>
      <c r="I39" t="s">
        <v>36</v>
      </c>
      <c r="L39" s="48" t="s">
        <v>60</v>
      </c>
      <c r="M39" s="48"/>
      <c r="N39" s="18">
        <f>N7</f>
        <v>11.360000000000001</v>
      </c>
      <c r="O39" t="s">
        <v>36</v>
      </c>
      <c r="Q39" s="48" t="s">
        <v>60</v>
      </c>
      <c r="R39" s="48"/>
      <c r="S39" s="18">
        <f>S15</f>
        <v>26.76</v>
      </c>
      <c r="T39" t="s">
        <v>36</v>
      </c>
      <c r="V39" s="48" t="s">
        <v>60</v>
      </c>
      <c r="W39" s="48"/>
      <c r="X39" s="18">
        <f>X22</f>
        <v>42.160000000000011</v>
      </c>
      <c r="Y39" t="s">
        <v>36</v>
      </c>
    </row>
    <row r="40" spans="1:25" x14ac:dyDescent="0.2">
      <c r="A40" s="48" t="s">
        <v>27</v>
      </c>
      <c r="B40" s="48"/>
      <c r="C40" s="43">
        <v>80</v>
      </c>
      <c r="D40" t="s">
        <v>64</v>
      </c>
      <c r="F40" s="48" t="s">
        <v>61</v>
      </c>
      <c r="G40" s="48"/>
      <c r="H40" s="43" t="str">
        <f>IF(H5&lt;10000,$A44,$A43)</f>
        <v>SAVA</v>
      </c>
      <c r="L40" s="48" t="s">
        <v>61</v>
      </c>
      <c r="M40" s="48"/>
      <c r="N40" s="43" t="str">
        <f>IF(N8&lt;10000,$A44,$A43)</f>
        <v>KVA</v>
      </c>
      <c r="Q40" s="48" t="s">
        <v>61</v>
      </c>
      <c r="R40" s="48"/>
      <c r="S40" s="43" t="str">
        <f>IF(S16&lt;10000,$A44,$A43)</f>
        <v>KVA</v>
      </c>
      <c r="V40" s="48" t="s">
        <v>61</v>
      </c>
      <c r="W40" s="48"/>
      <c r="X40" s="43" t="str">
        <f>IF(X23&lt;10000,$A44,$A43)</f>
        <v>KVA</v>
      </c>
    </row>
    <row r="41" spans="1:25" x14ac:dyDescent="0.2">
      <c r="F41" s="48" t="s">
        <v>62</v>
      </c>
      <c r="G41" s="48"/>
      <c r="H41" s="43">
        <f>IF(H40=$A44,$C44,$C43)</f>
        <v>350</v>
      </c>
      <c r="I41" t="s">
        <v>34</v>
      </c>
      <c r="L41" s="48" t="s">
        <v>62</v>
      </c>
      <c r="M41" s="48"/>
      <c r="N41" s="43">
        <f>IF(N40=$A44,$C44,$C43)</f>
        <v>250</v>
      </c>
      <c r="O41" t="s">
        <v>34</v>
      </c>
      <c r="Q41" s="48" t="s">
        <v>62</v>
      </c>
      <c r="R41" s="48"/>
      <c r="S41" s="43">
        <f>C44</f>
        <v>250</v>
      </c>
      <c r="T41" t="s">
        <v>34</v>
      </c>
      <c r="V41" s="48" t="s">
        <v>62</v>
      </c>
      <c r="W41" s="48"/>
      <c r="X41" s="43">
        <f>C44</f>
        <v>250</v>
      </c>
      <c r="Y41" t="s">
        <v>34</v>
      </c>
    </row>
    <row r="42" spans="1:25" x14ac:dyDescent="0.2">
      <c r="A42" s="15" t="s">
        <v>28</v>
      </c>
      <c r="B42" s="16"/>
      <c r="C42" s="16"/>
      <c r="D42" s="16"/>
      <c r="F42" s="48" t="s">
        <v>63</v>
      </c>
      <c r="G42" s="48"/>
      <c r="H42" s="47">
        <f>H39*H41/1000</f>
        <v>0.126</v>
      </c>
      <c r="I42" t="s">
        <v>64</v>
      </c>
      <c r="L42" s="48" t="s">
        <v>63</v>
      </c>
      <c r="M42" s="48"/>
      <c r="N42" s="47">
        <f>N39*N41/1000</f>
        <v>2.8400000000000003</v>
      </c>
      <c r="O42" t="s">
        <v>64</v>
      </c>
      <c r="Q42" s="48" t="s">
        <v>63</v>
      </c>
      <c r="R42" s="48"/>
      <c r="S42" s="47">
        <f>S39*S41/1000</f>
        <v>6.69</v>
      </c>
      <c r="T42" t="s">
        <v>64</v>
      </c>
      <c r="V42" s="48" t="s">
        <v>63</v>
      </c>
      <c r="W42" s="48"/>
      <c r="X42" s="47">
        <f>X39*X41/1000</f>
        <v>10.540000000000003</v>
      </c>
      <c r="Y42" t="s">
        <v>64</v>
      </c>
    </row>
    <row r="43" spans="1:25" x14ac:dyDescent="0.2">
      <c r="A43" s="48" t="s">
        <v>29</v>
      </c>
      <c r="B43" s="48"/>
      <c r="C43" s="43">
        <v>350</v>
      </c>
      <c r="D43" t="s">
        <v>34</v>
      </c>
      <c r="F43" t="s">
        <v>66</v>
      </c>
      <c r="H43" s="43">
        <f>C39</f>
        <v>35</v>
      </c>
      <c r="I43" t="s">
        <v>64</v>
      </c>
      <c r="L43" t="s">
        <v>66</v>
      </c>
      <c r="N43" s="43">
        <f>C40</f>
        <v>80</v>
      </c>
      <c r="O43" t="s">
        <v>64</v>
      </c>
      <c r="Q43" t="s">
        <v>66</v>
      </c>
      <c r="S43" s="43">
        <f>C40</f>
        <v>80</v>
      </c>
      <c r="T43" t="s">
        <v>64</v>
      </c>
      <c r="V43" t="s">
        <v>66</v>
      </c>
      <c r="X43" s="43">
        <f>C40</f>
        <v>80</v>
      </c>
      <c r="Y43" t="s">
        <v>64</v>
      </c>
    </row>
    <row r="44" spans="1:25" x14ac:dyDescent="0.2">
      <c r="A44" s="48" t="s">
        <v>30</v>
      </c>
      <c r="B44" s="48"/>
      <c r="C44" s="43">
        <v>250</v>
      </c>
      <c r="D44" t="s">
        <v>34</v>
      </c>
      <c r="F44" s="19" t="s">
        <v>67</v>
      </c>
      <c r="G44" s="19"/>
      <c r="H44" s="20">
        <f>H42+H43</f>
        <v>35.125999999999998</v>
      </c>
      <c r="I44" s="19" t="s">
        <v>64</v>
      </c>
      <c r="L44" s="19" t="s">
        <v>67</v>
      </c>
      <c r="M44" s="19"/>
      <c r="N44" s="20">
        <f>N42+N43</f>
        <v>82.84</v>
      </c>
      <c r="O44" s="19" t="s">
        <v>64</v>
      </c>
      <c r="Q44" s="19" t="s">
        <v>67</v>
      </c>
      <c r="R44" s="19"/>
      <c r="S44" s="20">
        <f>S42+S43</f>
        <v>86.69</v>
      </c>
      <c r="T44" s="19" t="s">
        <v>64</v>
      </c>
      <c r="V44" s="19" t="s">
        <v>67</v>
      </c>
      <c r="W44" s="19"/>
      <c r="X44" s="20">
        <f>X42+X43</f>
        <v>90.54</v>
      </c>
      <c r="Y44" s="19" t="s">
        <v>64</v>
      </c>
    </row>
    <row r="45" spans="1:25" x14ac:dyDescent="0.2">
      <c r="A45" s="48" t="s">
        <v>31</v>
      </c>
      <c r="B45" s="48"/>
      <c r="C45" s="43">
        <v>600</v>
      </c>
      <c r="D45" t="s">
        <v>34</v>
      </c>
      <c r="H45" s="18"/>
      <c r="N45" s="18"/>
      <c r="S45" s="18"/>
      <c r="X45" s="18"/>
    </row>
    <row r="46" spans="1:25" x14ac:dyDescent="0.2">
      <c r="A46" s="48" t="s">
        <v>32</v>
      </c>
      <c r="B46" s="48"/>
      <c r="C46" s="43">
        <v>60</v>
      </c>
      <c r="D46" t="s">
        <v>34</v>
      </c>
      <c r="F46" s="36" t="s">
        <v>58</v>
      </c>
      <c r="G46" s="36"/>
      <c r="H46" s="6"/>
      <c r="I46" s="36"/>
      <c r="L46" s="36" t="s">
        <v>58</v>
      </c>
      <c r="M46" s="36"/>
      <c r="N46" s="6"/>
      <c r="O46" s="36"/>
      <c r="Q46" s="36" t="s">
        <v>58</v>
      </c>
      <c r="R46" s="36"/>
      <c r="S46" s="6"/>
      <c r="T46" s="36"/>
      <c r="V46" s="36" t="s">
        <v>58</v>
      </c>
      <c r="W46" s="36"/>
      <c r="X46" s="6"/>
      <c r="Y46" s="36"/>
    </row>
    <row r="47" spans="1:25" x14ac:dyDescent="0.2">
      <c r="A47" s="48" t="s">
        <v>33</v>
      </c>
      <c r="B47" s="48"/>
      <c r="C47" s="43">
        <v>30</v>
      </c>
      <c r="D47" t="s">
        <v>34</v>
      </c>
      <c r="F47" s="48" t="s">
        <v>60</v>
      </c>
      <c r="G47" s="48"/>
      <c r="H47" s="18">
        <f>H27</f>
        <v>440</v>
      </c>
      <c r="I47" t="s">
        <v>36</v>
      </c>
      <c r="L47" s="48" t="s">
        <v>60</v>
      </c>
      <c r="M47" s="48"/>
      <c r="N47" s="18">
        <f>N27</f>
        <v>429</v>
      </c>
      <c r="O47" t="s">
        <v>36</v>
      </c>
      <c r="Q47" s="48" t="s">
        <v>60</v>
      </c>
      <c r="R47" s="48"/>
      <c r="S47" s="18">
        <f>S27</f>
        <v>413.6</v>
      </c>
      <c r="T47" t="s">
        <v>36</v>
      </c>
      <c r="V47" s="48" t="s">
        <v>60</v>
      </c>
      <c r="W47" s="48"/>
      <c r="X47" s="18">
        <f>X27</f>
        <v>398.2</v>
      </c>
      <c r="Y47" t="s">
        <v>36</v>
      </c>
    </row>
    <row r="48" spans="1:25" x14ac:dyDescent="0.2">
      <c r="F48" s="48" t="s">
        <v>61</v>
      </c>
      <c r="G48" s="48"/>
      <c r="H48" s="43" t="str">
        <f>IF(H$28&lt;0.5,"Recycling",IF(H$28&lt;1,"Dep. B","Dep. E"))</f>
        <v>Dep. E</v>
      </c>
      <c r="L48" s="48" t="s">
        <v>61</v>
      </c>
      <c r="M48" s="48"/>
      <c r="N48" s="43" t="str">
        <f>IF(N$28&lt;0.5,"Recycling",IF(N$28&lt;1,"Dep. B","Dep. E"))</f>
        <v>Dep. B</v>
      </c>
      <c r="Q48" s="48" t="s">
        <v>61</v>
      </c>
      <c r="R48" s="48"/>
      <c r="S48" s="43" t="str">
        <f>IF(S$28&lt;0.5,"Recycling",IF(S$28&lt;1,"Dep. B","Dep. E"))</f>
        <v>Recycling</v>
      </c>
      <c r="V48" s="48" t="s">
        <v>61</v>
      </c>
      <c r="W48" s="48"/>
      <c r="X48" s="43" t="str">
        <f>IF(X$28&lt;0.5,"Recycling",IF(X$28&lt;1,"Dep. B","Dep. E"))</f>
        <v>Recycling</v>
      </c>
    </row>
    <row r="49" spans="6:25" x14ac:dyDescent="0.2">
      <c r="F49" s="48" t="s">
        <v>62</v>
      </c>
      <c r="G49" s="48"/>
      <c r="H49" s="43">
        <f>IF(H$28&lt;0.5,$C47,IF(H$28&lt;1,$C46,$C45))</f>
        <v>600</v>
      </c>
      <c r="I49" t="s">
        <v>65</v>
      </c>
      <c r="L49" s="48" t="s">
        <v>62</v>
      </c>
      <c r="M49" s="48"/>
      <c r="N49" s="43">
        <f>IF(N$28&lt;0.5,$C47,IF(N$28&lt;1,$C46,$C45))</f>
        <v>60</v>
      </c>
      <c r="O49" t="s">
        <v>65</v>
      </c>
      <c r="Q49" s="48" t="s">
        <v>62</v>
      </c>
      <c r="R49" s="48"/>
      <c r="S49" s="43">
        <f>IF(S$28&lt;0.5,$C47,IF(S$28&lt;1,$C46,$C45))</f>
        <v>30</v>
      </c>
      <c r="T49" t="s">
        <v>65</v>
      </c>
      <c r="V49" s="48" t="s">
        <v>62</v>
      </c>
      <c r="W49" s="48"/>
      <c r="X49" s="43">
        <f>IF(X$28&lt;0.5,$C47,IF(X$28&lt;1,$C46,$C45))</f>
        <v>30</v>
      </c>
      <c r="Y49" t="s">
        <v>65</v>
      </c>
    </row>
    <row r="50" spans="6:25" x14ac:dyDescent="0.2">
      <c r="F50" s="48" t="s">
        <v>63</v>
      </c>
      <c r="G50" s="48"/>
      <c r="H50" s="47">
        <f>H47*H49/1000</f>
        <v>264</v>
      </c>
      <c r="I50" t="s">
        <v>64</v>
      </c>
      <c r="L50" s="48" t="s">
        <v>63</v>
      </c>
      <c r="M50" s="48"/>
      <c r="N50" s="47">
        <f>N47*N49/1000</f>
        <v>25.74</v>
      </c>
      <c r="O50" t="s">
        <v>64</v>
      </c>
      <c r="Q50" s="48" t="s">
        <v>63</v>
      </c>
      <c r="R50" s="48"/>
      <c r="S50" s="47">
        <f>S47*S49/1000</f>
        <v>12.407999999999999</v>
      </c>
      <c r="T50" t="s">
        <v>64</v>
      </c>
      <c r="V50" s="48" t="s">
        <v>63</v>
      </c>
      <c r="W50" s="48"/>
      <c r="X50" s="47">
        <f>X47*X49/1000</f>
        <v>11.946</v>
      </c>
      <c r="Y50" t="s">
        <v>64</v>
      </c>
    </row>
    <row r="51" spans="6:25" x14ac:dyDescent="0.2">
      <c r="F51" s="19" t="s">
        <v>67</v>
      </c>
      <c r="G51" s="19"/>
      <c r="H51" s="20">
        <f>H50</f>
        <v>264</v>
      </c>
      <c r="I51" s="19" t="s">
        <v>64</v>
      </c>
      <c r="L51" s="19" t="s">
        <v>67</v>
      </c>
      <c r="M51" s="19"/>
      <c r="N51" s="20">
        <f>N50</f>
        <v>25.74</v>
      </c>
      <c r="O51" s="19" t="s">
        <v>64</v>
      </c>
      <c r="Q51" s="19" t="s">
        <v>67</v>
      </c>
      <c r="R51" s="19"/>
      <c r="S51" s="20">
        <f>S50</f>
        <v>12.407999999999999</v>
      </c>
      <c r="T51" s="19" t="s">
        <v>64</v>
      </c>
      <c r="V51" s="19" t="s">
        <v>67</v>
      </c>
      <c r="W51" s="19"/>
      <c r="X51" s="20">
        <f>X50</f>
        <v>11.946</v>
      </c>
      <c r="Y51" s="19" t="s">
        <v>64</v>
      </c>
    </row>
    <row r="53" spans="6:25" x14ac:dyDescent="0.2">
      <c r="F53" s="38" t="s">
        <v>69</v>
      </c>
      <c r="G53" s="38"/>
      <c r="H53" s="39">
        <f>H44+H51</f>
        <v>299.12599999999998</v>
      </c>
      <c r="I53" s="38" t="s">
        <v>64</v>
      </c>
      <c r="L53" s="38" t="s">
        <v>69</v>
      </c>
      <c r="M53" s="38"/>
      <c r="N53" s="39">
        <f>N44+N51</f>
        <v>108.58</v>
      </c>
      <c r="O53" s="38" t="s">
        <v>64</v>
      </c>
      <c r="Q53" s="38" t="s">
        <v>69</v>
      </c>
      <c r="R53" s="38"/>
      <c r="S53" s="39">
        <f>S44+S51</f>
        <v>99.097999999999999</v>
      </c>
      <c r="T53" s="38" t="s">
        <v>64</v>
      </c>
      <c r="V53" s="38" t="s">
        <v>69</v>
      </c>
      <c r="W53" s="38"/>
      <c r="X53" s="39">
        <f>X44+X51</f>
        <v>102.486</v>
      </c>
      <c r="Y53" s="38" t="s">
        <v>64</v>
      </c>
    </row>
  </sheetData>
  <mergeCells count="64">
    <mergeCell ref="L2:L8"/>
    <mergeCell ref="Q2:Q16"/>
    <mergeCell ref="V2:V23"/>
    <mergeCell ref="A6:A8"/>
    <mergeCell ref="F6:F28"/>
    <mergeCell ref="A10:B10"/>
    <mergeCell ref="L10:L28"/>
    <mergeCell ref="A14:A16"/>
    <mergeCell ref="A18:B18"/>
    <mergeCell ref="Q18:Q28"/>
    <mergeCell ref="A2:A4"/>
    <mergeCell ref="F2:F4"/>
    <mergeCell ref="A22:A24"/>
    <mergeCell ref="V25:V28"/>
    <mergeCell ref="A26:B26"/>
    <mergeCell ref="A30:A33"/>
    <mergeCell ref="F30:F33"/>
    <mergeCell ref="L30:L33"/>
    <mergeCell ref="Q30:Q33"/>
    <mergeCell ref="V30:V33"/>
    <mergeCell ref="A39:B39"/>
    <mergeCell ref="F39:G39"/>
    <mergeCell ref="L39:M39"/>
    <mergeCell ref="Q39:R39"/>
    <mergeCell ref="V39:W39"/>
    <mergeCell ref="A37:D37"/>
    <mergeCell ref="F37:I37"/>
    <mergeCell ref="L37:O37"/>
    <mergeCell ref="Q37:T37"/>
    <mergeCell ref="V37:Y37"/>
    <mergeCell ref="V40:W40"/>
    <mergeCell ref="F41:G41"/>
    <mergeCell ref="L41:M41"/>
    <mergeCell ref="Q41:R41"/>
    <mergeCell ref="V41:W41"/>
    <mergeCell ref="A40:B40"/>
    <mergeCell ref="F40:G40"/>
    <mergeCell ref="L40:M40"/>
    <mergeCell ref="Q40:R40"/>
    <mergeCell ref="F42:G42"/>
    <mergeCell ref="L42:M42"/>
    <mergeCell ref="Q42:R42"/>
    <mergeCell ref="V42:W42"/>
    <mergeCell ref="A43:B43"/>
    <mergeCell ref="A45:B45"/>
    <mergeCell ref="A46:B46"/>
    <mergeCell ref="A47:B47"/>
    <mergeCell ref="F47:G47"/>
    <mergeCell ref="L47:M47"/>
    <mergeCell ref="A44:B44"/>
    <mergeCell ref="F50:G50"/>
    <mergeCell ref="L50:M50"/>
    <mergeCell ref="Q50:R50"/>
    <mergeCell ref="V50:W50"/>
    <mergeCell ref="V47:W47"/>
    <mergeCell ref="F48:G48"/>
    <mergeCell ref="L48:M48"/>
    <mergeCell ref="Q48:R48"/>
    <mergeCell ref="V48:W48"/>
    <mergeCell ref="F49:G49"/>
    <mergeCell ref="L49:M49"/>
    <mergeCell ref="Q49:R49"/>
    <mergeCell ref="V49:W49"/>
    <mergeCell ref="Q47:R47"/>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1F5E6A649E57C4D8FB728D391386E94" ma:contentTypeVersion="14" ma:contentTypeDescription="Ein neues Dokument erstellen." ma:contentTypeScope="" ma:versionID="fd8e7506d3f500f6e9f40d81a1a8a45f">
  <xsd:schema xmlns:xsd="http://www.w3.org/2001/XMLSchema" xmlns:xs="http://www.w3.org/2001/XMLSchema" xmlns:p="http://schemas.microsoft.com/office/2006/metadata/properties" xmlns:ns2="30d54d15-5bd5-4c0a-9915-2360ac62549e" xmlns:ns3="88c03427-babd-481c-89b0-2cb76981f53f" targetNamespace="http://schemas.microsoft.com/office/2006/metadata/properties" ma:root="true" ma:fieldsID="072262fb89eb3fe0294b748ae497c818" ns2:_="" ns3:_="">
    <xsd:import namespace="30d54d15-5bd5-4c0a-9915-2360ac62549e"/>
    <xsd:import namespace="88c03427-babd-481c-89b0-2cb76981f5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54d15-5bd5-4c0a-9915-2360ac625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d993306b-ba5c-479e-bba7-f86f75c488e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c03427-babd-481c-89b0-2cb76981f53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afc91be-abf9-47d8-9d1f-d65c7566c9c5}" ma:internalName="TaxCatchAll" ma:showField="CatchAllData" ma:web="88c03427-babd-481c-89b0-2cb76981f53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0d54d15-5bd5-4c0a-9915-2360ac62549e">
      <Terms xmlns="http://schemas.microsoft.com/office/infopath/2007/PartnerControls"/>
    </lcf76f155ced4ddcb4097134ff3c332f>
    <TaxCatchAll xmlns="88c03427-babd-481c-89b0-2cb76981f53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1EA46F-E9C3-49D0-9B90-D4BD7E18C4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54d15-5bd5-4c0a-9915-2360ac62549e"/>
    <ds:schemaRef ds:uri="88c03427-babd-481c-89b0-2cb76981f5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4067B7-3450-4C46-B20C-1C70146F0B2F}">
  <ds:schemaRefs>
    <ds:schemaRef ds:uri="30d54d15-5bd5-4c0a-9915-2360ac62549e"/>
    <ds:schemaRef ds:uri="88c03427-babd-481c-89b0-2cb76981f53f"/>
    <ds:schemaRef ds:uri="http://schemas.openxmlformats.org/package/2006/metadata/core-properties"/>
    <ds:schemaRef ds:uri="http://purl.org/dc/terms/"/>
    <ds:schemaRef ds:uri="http://schemas.microsoft.com/office/2006/documentManagement/types"/>
    <ds:schemaRef ds:uri="http://www.w3.org/XML/1998/namespace"/>
    <ds:schemaRef ds:uri="http://purl.org/dc/dcmitype/"/>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0D6D3F1F-4BBF-4156-ADD6-363DA0183C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Bemerkungen</vt:lpstr>
      <vt:lpstr>Einfache Berechnung</vt:lpstr>
      <vt:lpstr>Schichtanalyse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Schneebeli</dc:creator>
  <cp:lastModifiedBy>Simon Schneebeli</cp:lastModifiedBy>
  <dcterms:created xsi:type="dcterms:W3CDTF">2023-11-01T15:22:03Z</dcterms:created>
  <dcterms:modified xsi:type="dcterms:W3CDTF">2024-02-13T15:35:57Z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0x01010031F5E6A649E57C4D8FB728D391386E94</vt:lpwstr>
  </property>
</Properties>
</file>