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imon/Bilbau_Wolke/3_Bilbau/5_Kursunterlagen_DE/w_Graphiken_Tabellen_etc/Bauteil rechnen/"/>
    </mc:Choice>
  </mc:AlternateContent>
  <xr:revisionPtr revIDLastSave="0" documentId="13_ncr:81_{16FDBCD4-AA94-0145-B126-52F27D1B5BFC}" xr6:coauthVersionLast="47" xr6:coauthVersionMax="47" xr10:uidLastSave="{00000000-0000-0000-0000-000000000000}"/>
  <bookViews>
    <workbookView xWindow="0" yWindow="500" windowWidth="26900" windowHeight="16840" tabRatio="500" xr2:uid="{00000000-000D-0000-FFFF-FFFF00000000}"/>
  </bookViews>
  <sheets>
    <sheet name="Remarques" sheetId="1" r:id="rId1"/>
    <sheet name="Calcul simple" sheetId="2" r:id="rId2"/>
    <sheet name="Calcul par couches" sheetId="3" r:id="rId3"/>
  </sheets>
  <calcPr calcId="191029" iterateDelta="1E-4"/>
  <customWorkbookViews>
    <customWorkbookView name="Simon Schneebeli - Personal View" guid="{238FE9F7-9E46-F14F-9229-96AB9710E81D}" mergeInterval="0" personalView="1" yWindow="25" windowWidth="1345" windowHeight="842" tabRatio="50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X43" i="3" l="1"/>
  <c r="S43" i="3"/>
  <c r="N43" i="3"/>
  <c r="H43" i="3"/>
  <c r="X41" i="3"/>
  <c r="S41" i="3"/>
  <c r="H39" i="3"/>
  <c r="H31" i="3"/>
  <c r="X30" i="3"/>
  <c r="C30" i="3"/>
  <c r="X28" i="3"/>
  <c r="X48" i="3" s="1"/>
  <c r="S28" i="3"/>
  <c r="S48" i="3" s="1"/>
  <c r="H28" i="3"/>
  <c r="H48" i="3" s="1"/>
  <c r="C27" i="3"/>
  <c r="X26" i="3"/>
  <c r="S26" i="3"/>
  <c r="N26" i="3"/>
  <c r="H26" i="3"/>
  <c r="X25" i="3"/>
  <c r="X27" i="3" s="1"/>
  <c r="X47" i="3" s="1"/>
  <c r="S25" i="3"/>
  <c r="S27" i="3" s="1"/>
  <c r="S47" i="3" s="1"/>
  <c r="N25" i="3"/>
  <c r="N27" i="3" s="1"/>
  <c r="N47" i="3" s="1"/>
  <c r="H25" i="3"/>
  <c r="H27" i="3" s="1"/>
  <c r="H47" i="3" s="1"/>
  <c r="C23" i="3"/>
  <c r="X20" i="3"/>
  <c r="C20" i="3"/>
  <c r="C19" i="3"/>
  <c r="C15" i="3"/>
  <c r="S14" i="3"/>
  <c r="S15" i="3" s="1"/>
  <c r="S13" i="3"/>
  <c r="S30" i="3" s="1"/>
  <c r="C12" i="3"/>
  <c r="C11" i="3"/>
  <c r="X21" i="3" s="1"/>
  <c r="X22" i="3" s="1"/>
  <c r="J6" i="3"/>
  <c r="N5" i="3"/>
  <c r="N30" i="3" s="1"/>
  <c r="H5" i="3"/>
  <c r="H40" i="3" s="1"/>
  <c r="H41" i="3" s="1"/>
  <c r="H4" i="3"/>
  <c r="H3" i="3"/>
  <c r="H2" i="3"/>
  <c r="H32" i="3" s="1"/>
  <c r="C36" i="2"/>
  <c r="C37" i="2" s="1"/>
  <c r="C38" i="2" s="1"/>
  <c r="C34" i="2"/>
  <c r="C30" i="2"/>
  <c r="C28" i="2"/>
  <c r="C29" i="2" s="1"/>
  <c r="C31" i="2" s="1"/>
  <c r="C26" i="2"/>
  <c r="C10" i="2"/>
  <c r="C11" i="2" s="1"/>
  <c r="C15" i="2" s="1"/>
  <c r="C16" i="2" s="1"/>
  <c r="C9" i="2"/>
  <c r="C14" i="2" s="1"/>
  <c r="X33" i="3" l="1"/>
  <c r="X39" i="3"/>
  <c r="X42" i="3" s="1"/>
  <c r="X44" i="3" s="1"/>
  <c r="X23" i="3"/>
  <c r="X40" i="3" s="1"/>
  <c r="C17" i="2"/>
  <c r="C19" i="2" s="1"/>
  <c r="C21" i="2" s="1"/>
  <c r="S33" i="3"/>
  <c r="S39" i="3"/>
  <c r="S42" i="3" s="1"/>
  <c r="S44" i="3" s="1"/>
  <c r="X31" i="3"/>
  <c r="H42" i="3"/>
  <c r="H44" i="3" s="1"/>
  <c r="H33" i="3"/>
  <c r="X50" i="3"/>
  <c r="X51" i="3" s="1"/>
  <c r="C40" i="2"/>
  <c r="H49" i="3"/>
  <c r="H50" i="3" s="1"/>
  <c r="H51" i="3" s="1"/>
  <c r="N28" i="3"/>
  <c r="C31" i="3"/>
  <c r="N6" i="3"/>
  <c r="X32" i="3"/>
  <c r="S49" i="3"/>
  <c r="S50" i="3" s="1"/>
  <c r="S51" i="3" s="1"/>
  <c r="N7" i="3"/>
  <c r="S16" i="3"/>
  <c r="S40" i="3" s="1"/>
  <c r="N31" i="3"/>
  <c r="C33" i="3"/>
  <c r="X49" i="3"/>
  <c r="S31" i="3"/>
  <c r="H30" i="3"/>
  <c r="C32" i="3"/>
  <c r="N48" i="3" l="1"/>
  <c r="N49" i="3"/>
  <c r="N50" i="3" s="1"/>
  <c r="N51" i="3" s="1"/>
  <c r="S53" i="3"/>
  <c r="S32" i="3"/>
  <c r="H53" i="3"/>
  <c r="X53" i="3"/>
  <c r="N33" i="3"/>
  <c r="N8" i="3"/>
  <c r="N39" i="3"/>
  <c r="N40" i="3" l="1"/>
  <c r="N41" i="3" s="1"/>
  <c r="N32" i="3"/>
  <c r="N42" i="3"/>
  <c r="N44" i="3" s="1"/>
  <c r="N5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200-000001000000}">
      <text>
        <r>
          <rPr>
            <sz val="12"/>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Durchschnitt Konzentration von oberer und unterer Schicht</t>
        </r>
      </text>
    </comment>
    <comment ref="B20" authorId="0" shapeId="0" xr:uid="{00000000-0006-0000-0200-000002000000}">
      <text>
        <r>
          <rPr>
            <sz val="12"/>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Durchschnitt Konzentration von oberer und unterer Schicht</t>
        </r>
      </text>
    </comment>
    <comment ref="B28" authorId="0" shapeId="0" xr:uid="{00000000-0006-0000-0200-000003000000}">
      <text>
        <r>
          <rPr>
            <sz val="12"/>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Durchschnitt Konzentration von oberer und unterer Schicht</t>
        </r>
      </text>
    </comment>
  </commentList>
</comments>
</file>

<file path=xl/sharedStrings.xml><?xml version="1.0" encoding="utf-8"?>
<sst xmlns="http://schemas.openxmlformats.org/spreadsheetml/2006/main" count="395" uniqueCount="121">
  <si>
    <t>Informations générales</t>
  </si>
  <si>
    <t>Objectif</t>
  </si>
  <si>
    <t xml:space="preserve">Ce tableau permet de calculer la concentration d'un polluant sur un élément de construction, sur la base d'une analyse simple de la peinture ou d'une analyse par couche après un sondage en profondeur. </t>
  </si>
  <si>
    <t xml:space="preserve">En outre, ce tableau permet de déterminer les filières d'élimination et les coûts d'assainissement et d'élimination par unité de surface pour ainsi optimiser les coûts. </t>
  </si>
  <si>
    <t>Limites / Responsabilité</t>
  </si>
  <si>
    <t xml:space="preserve">Ceci est une première version de ce tableau. Bien qu’elle ait fait l’objet de plusieurs vérifications, les auteurs ne peuvent être tenus responsables pour tout calcul émanant de cette méthode. </t>
  </si>
  <si>
    <t>Tableau calcul simple</t>
  </si>
  <si>
    <t>Calcul simple</t>
  </si>
  <si>
    <t xml:space="preserve">Il convient de renseigner la concentration du polluant dans la peinture, l'épaisseur des couches ainsi que les densités. Le résultat obtenu informe de la concentration moyenne sur l'élément de construction. </t>
  </si>
  <si>
    <t>Les données sont à indiquer dans les champs marqués en jaune.</t>
  </si>
  <si>
    <t>Note</t>
  </si>
  <si>
    <t>Le calcul est basé sur la densité moyenne de l’ensemble des deux couches, ce qui donne un résultat plus précis de quelques pourcents par rapport à un calcul ne prenant en compte que la densité du support.</t>
  </si>
  <si>
    <t>Tableau analyse par couche</t>
  </si>
  <si>
    <t>A renseigner</t>
  </si>
  <si>
    <t>Densité moyenne</t>
  </si>
  <si>
    <t>Pour les éléments constitués de couches présentant une densité différente, le tableau calcule la densité moyenne (p.ex. Moyenne entre la peinture et le support).</t>
  </si>
  <si>
    <t>Concentration de la couche intermédiaire</t>
  </si>
  <si>
    <t>La concentration dans la couche intermédiaire (lame de la scie) correspond à la moyenne des couches adjacentes.</t>
  </si>
  <si>
    <t>Limites</t>
  </si>
  <si>
    <t>Les valeurs indiquées dans le tableau n'y sont qu'à titre d'exemple.</t>
  </si>
  <si>
    <t>Les montants indiqués pour les coûts de l'assainissement et de l'élimination ne sont pas à jour.</t>
  </si>
  <si>
    <t>Copyright</t>
  </si>
  <si>
    <t>Ce tableau a été publié sous licence Creative Communs CC BY-NC 4.0.</t>
  </si>
  <si>
    <t>Conditions d’utilisation : ce tableau peut être librement utilisé à titre privé. Il peut être redistribué, même sous forme adaptée, mais uniquement sous les mêmes conditions, c'est-à-dire qu'il convient d’en mentionner les auteurs. Une utilisation commerciale n'est pas permise sans l'accord des auteurs.</t>
  </si>
  <si>
    <r>
      <rPr>
        <b/>
        <sz val="12"/>
        <color rgb="FF000000"/>
        <rFont val="Calibri"/>
        <family val="2"/>
        <charset val="1"/>
      </rPr>
      <t>Auteurs</t>
    </r>
    <r>
      <rPr>
        <sz val="12"/>
        <color rgb="FF000000"/>
        <rFont val="Calibri"/>
        <family val="2"/>
        <charset val="1"/>
      </rPr>
      <t>: Simon Schneebeli, Bildungszentrum Bauschadstoffe Schweiz Bilbau.ch et Lukas Uhlmann, Ecosens.ch</t>
    </r>
  </si>
  <si>
    <t xml:space="preserve">Calcul simple sur la base de la concentration du polluant dans la peinture </t>
  </si>
  <si>
    <t>Pein-ture</t>
  </si>
  <si>
    <t>Épaisseur peinture</t>
  </si>
  <si>
    <t>mm</t>
  </si>
  <si>
    <t>Densité peinture</t>
  </si>
  <si>
    <t>kg/m3</t>
  </si>
  <si>
    <t>Concentration dans la peinture</t>
  </si>
  <si>
    <t>mg/kg</t>
  </si>
  <si>
    <t>Bau-teil</t>
  </si>
  <si>
    <t>Épaisseur élément fond</t>
  </si>
  <si>
    <t>Densité élément de fond</t>
  </si>
  <si>
    <t>Total</t>
  </si>
  <si>
    <t>Épaisseur totale</t>
  </si>
  <si>
    <t>Concentration sur l'élément en entier</t>
  </si>
  <si>
    <r>
      <rPr>
        <b/>
        <sz val="14"/>
        <color rgb="FFFFFFFF"/>
        <rFont val="Calibri"/>
        <family val="2"/>
        <charset val="1"/>
      </rPr>
      <t xml:space="preserve">Coûts de l'élimination </t>
    </r>
    <r>
      <rPr>
        <b/>
        <sz val="14"/>
        <color rgb="FFFFFF00"/>
        <rFont val="Calibri (Body)"/>
        <charset val="1"/>
      </rPr>
      <t>SANS assainissement</t>
    </r>
    <r>
      <rPr>
        <b/>
        <sz val="14"/>
        <color rgb="FFFFFFFF"/>
        <rFont val="Calibri"/>
        <family val="2"/>
        <charset val="1"/>
      </rPr>
      <t xml:space="preserve"> par m2</t>
    </r>
  </si>
  <si>
    <t>Poids des déchets par m2</t>
  </si>
  <si>
    <t>kg/m2</t>
  </si>
  <si>
    <t>Val. limite</t>
  </si>
  <si>
    <t>Coût</t>
  </si>
  <si>
    <t>Filière d'élimination</t>
  </si>
  <si>
    <t>Décharge E</t>
  </si>
  <si>
    <t>Coût de l'élimination par t</t>
  </si>
  <si>
    <t>CHF/t</t>
  </si>
  <si>
    <t>Décharge B</t>
  </si>
  <si>
    <t>Coût de l'élimination par m2</t>
  </si>
  <si>
    <t>CHF/m2</t>
  </si>
  <si>
    <t>Recyclage</t>
  </si>
  <si>
    <t>Coût de l'assainissement par m2</t>
  </si>
  <si>
    <t>Coûts pour cette couche / m2</t>
  </si>
  <si>
    <t>Coûts d'assainissement et élimination</t>
  </si>
  <si>
    <r>
      <rPr>
        <b/>
        <sz val="14"/>
        <color rgb="FFFFFFFF"/>
        <rFont val="Calibri"/>
        <family val="2"/>
        <charset val="1"/>
      </rPr>
      <t xml:space="preserve">Coûts </t>
    </r>
    <r>
      <rPr>
        <b/>
        <sz val="14"/>
        <color rgb="FFFFFF00"/>
        <rFont val="Calibri (Body)"/>
        <charset val="1"/>
      </rPr>
      <t>AVEC ASSAINISSEMENT</t>
    </r>
    <r>
      <rPr>
        <b/>
        <sz val="14"/>
        <color rgb="FFFFFFFF"/>
        <rFont val="Calibri"/>
        <family val="2"/>
        <charset val="1"/>
      </rPr>
      <t xml:space="preserve"> par m2</t>
    </r>
  </si>
  <si>
    <t>Couche polluée</t>
  </si>
  <si>
    <t>Épaisseur du béton qui est enlevé pour tenir compte des irrégularités du matériau</t>
  </si>
  <si>
    <t>UIOM</t>
  </si>
  <si>
    <t>Coûts pour cette couche par m2</t>
  </si>
  <si>
    <t>Couche non polluée</t>
  </si>
  <si>
    <t>Recycling</t>
  </si>
  <si>
    <t>CHF/t/m2</t>
  </si>
  <si>
    <t>Densités approximatives</t>
  </si>
  <si>
    <t>de</t>
  </si>
  <si>
    <t>à</t>
  </si>
  <si>
    <t>Béton sans armatures</t>
  </si>
  <si>
    <t>Chape</t>
  </si>
  <si>
    <t>Lasure à base d'hile</t>
  </si>
  <si>
    <t>Peinture, laque</t>
  </si>
  <si>
    <t>Peinture façade</t>
  </si>
  <si>
    <t>Peinture anti-corrosion</t>
  </si>
  <si>
    <t>Calcul de la charge polluante après analyse par couche</t>
  </si>
  <si>
    <t>Pollution par charge: UNIQUEMENT PEINTURE</t>
  </si>
  <si>
    <t>Pollution par charge: PEINTURE ET 1ère COUCHE</t>
  </si>
  <si>
    <t>Pollution par charge: PEINTURE ET 1e À 2e COUCHE</t>
  </si>
  <si>
    <t>Épaisseur de la peinture</t>
  </si>
  <si>
    <t>Épaisseur</t>
  </si>
  <si>
    <t>Concentration moyenne couche 1 et peinture</t>
  </si>
  <si>
    <t>Concentration moyenne couche 1 à 2 et peinture</t>
  </si>
  <si>
    <t>Concentration moyenne couche 1 à 3 et peinture</t>
  </si>
  <si>
    <t>Densité de la peinture</t>
  </si>
  <si>
    <t>Densité</t>
  </si>
  <si>
    <t>Poids kg / m2</t>
  </si>
  <si>
    <t>Ø Concentration</t>
  </si>
  <si>
    <t>Couche 1</t>
  </si>
  <si>
    <t>Épaisseur de la couche</t>
  </si>
  <si>
    <t>Concentration moyenne couche de fond</t>
  </si>
  <si>
    <t>Densité de la couche</t>
  </si>
  <si>
    <t>Concentration de la couche</t>
  </si>
  <si>
    <r>
      <rPr>
        <b/>
        <sz val="12"/>
        <color rgb="FF000000"/>
        <rFont val="Calibri"/>
        <family val="2"/>
        <charset val="1"/>
      </rPr>
      <t>Couche intermédiaire</t>
    </r>
    <r>
      <rPr>
        <sz val="12"/>
        <color rgb="FF000000"/>
        <rFont val="Calibri"/>
        <family val="2"/>
        <charset val="1"/>
      </rPr>
      <t xml:space="preserve"> (épaisseur scie)</t>
    </r>
  </si>
  <si>
    <t>Concentration moyenne fond</t>
  </si>
  <si>
    <t>Ø concentration</t>
  </si>
  <si>
    <t>Couche 2</t>
  </si>
  <si>
    <t>Couche 3</t>
  </si>
  <si>
    <t>Conc. moyenne fond</t>
  </si>
  <si>
    <t>Couche de fond</t>
  </si>
  <si>
    <r>
      <rPr>
        <sz val="12"/>
        <color rgb="FF000000"/>
        <rFont val="Calibri"/>
        <family val="2"/>
      </rPr>
      <t>Épaisseur</t>
    </r>
    <r>
      <rPr>
        <sz val="12"/>
        <color rgb="FF000000"/>
        <rFont val="Calibri"/>
        <family val="2"/>
        <charset val="1"/>
      </rPr>
      <t xml:space="preserve"> totale</t>
    </r>
  </si>
  <si>
    <t>Concentration sur l'épaisseur</t>
  </si>
  <si>
    <t>Concentration sur l'ensemble</t>
  </si>
  <si>
    <t>Poids total par m2</t>
  </si>
  <si>
    <t>Poids total kg/m2</t>
  </si>
  <si>
    <t>Coûts unitaires : assainissement et élimination</t>
  </si>
  <si>
    <t>Coûts d'assainissement et d'élimination par m2</t>
  </si>
  <si>
    <t>Kosten Sanierung und Entsorgung pro m2</t>
  </si>
  <si>
    <t>Coûts unitaires pour l'assainissement</t>
  </si>
  <si>
    <t>Charge polluée</t>
  </si>
  <si>
    <t>Enlèvement peinture</t>
  </si>
  <si>
    <t>Poids déchets par m2</t>
  </si>
  <si>
    <t>Enlèvement peinture et béton</t>
  </si>
  <si>
    <t>Coûts d'élimination par t</t>
  </si>
  <si>
    <t>Coûts unitaires pour l'élimination</t>
  </si>
  <si>
    <t>Coûts d'élimination par m2</t>
  </si>
  <si>
    <t>UIDS</t>
  </si>
  <si>
    <t>Coûts d'assainissement par m2</t>
  </si>
  <si>
    <t>Coûts totaux pour cette couche par m2</t>
  </si>
  <si>
    <t>Charge non polluée</t>
  </si>
  <si>
    <t>Recyclage lié</t>
  </si>
  <si>
    <t>Coûts totaux assainissement et élimination</t>
  </si>
  <si>
    <t>Coûts totaux  assainissement et élimination</t>
  </si>
  <si>
    <r>
      <t xml:space="preserve">Calcul de la charge polluante sur l'épaisseur d'un élément de construction </t>
    </r>
    <r>
      <rPr>
        <b/>
        <sz val="14"/>
        <color rgb="FFFFFF00"/>
        <rFont val="Calibri (Body)"/>
        <charset val="1"/>
      </rPr>
      <t>(Ébauche, version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</si>
</sst>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2"/>
      <color rgb="FF000000"/>
      <name val="Calibri"/>
      <family val="2"/>
      <charset val="1"/>
    </font>
    <font>
      <b/>
      <sz val="12"/>
      <color rgb="FF000000"/>
      <name val="Calibri"/>
      <family val="2"/>
      <charset val="1"/>
    </font>
    <font>
      <b/>
      <sz val="14"/>
      <color rgb="FFFFFFFF"/>
      <name val="Calibri"/>
      <family val="2"/>
      <charset val="1"/>
    </font>
    <font>
      <b/>
      <sz val="14"/>
      <color rgb="FFFFFF00"/>
      <name val="Calibri (Body)"/>
      <charset val="1"/>
    </font>
    <font>
      <sz val="12"/>
      <color rgb="FFFFFFFF"/>
      <name val="Calibri"/>
      <family val="2"/>
      <charset val="1"/>
    </font>
    <font>
      <b/>
      <sz val="14"/>
      <color rgb="FFFF0000"/>
      <name val="Calibri"/>
      <family val="2"/>
      <charset val="1"/>
    </font>
    <font>
      <sz val="12"/>
      <color rgb="FFFF0000"/>
      <name val="Calibri"/>
      <family val="2"/>
      <charset val="1"/>
    </font>
    <font>
      <b/>
      <sz val="12"/>
      <color rgb="FFFF0000"/>
      <name val="Calibri"/>
      <family val="2"/>
      <charset val="1"/>
    </font>
    <font>
      <b/>
      <sz val="13"/>
      <color rgb="FFFFFFFF"/>
      <name val="Calibri"/>
      <family val="2"/>
      <charset val="1"/>
    </font>
    <font>
      <b/>
      <sz val="12"/>
      <color rgb="FFFFFFFF"/>
      <name val="Calibri"/>
      <family val="2"/>
      <charset val="1"/>
    </font>
    <font>
      <sz val="12"/>
      <name val="Calibri"/>
      <family val="2"/>
      <charset val="1"/>
    </font>
    <font>
      <sz val="12"/>
      <color rgb="FF000000"/>
      <name val="Calibri"/>
      <family val="2"/>
    </font>
  </fonts>
  <fills count="19">
    <fill>
      <patternFill patternType="none"/>
    </fill>
    <fill>
      <patternFill patternType="gray125"/>
    </fill>
    <fill>
      <patternFill patternType="solid">
        <fgColor rgb="FF4472C4"/>
        <bgColor rgb="FF666699"/>
      </patternFill>
    </fill>
    <fill>
      <patternFill patternType="solid">
        <fgColor rgb="FFBDD7EE"/>
        <bgColor rgb="FFB4C7E7"/>
      </patternFill>
    </fill>
    <fill>
      <patternFill patternType="solid">
        <fgColor rgb="FFFFE699"/>
        <bgColor rgb="FFFFF2CC"/>
      </patternFill>
    </fill>
    <fill>
      <patternFill patternType="solid">
        <fgColor rgb="FFFFF2CC"/>
        <bgColor rgb="FFFBE5D6"/>
      </patternFill>
    </fill>
    <fill>
      <patternFill patternType="solid">
        <fgColor rgb="FFFFFF00"/>
        <bgColor rgb="FFFFFF00"/>
      </patternFill>
    </fill>
    <fill>
      <patternFill patternType="solid">
        <fgColor rgb="FF8FAADC"/>
        <bgColor rgb="FFB4C7E7"/>
      </patternFill>
    </fill>
    <fill>
      <patternFill patternType="solid">
        <fgColor rgb="FFE2F0D9"/>
        <bgColor rgb="FFDAE3F3"/>
      </patternFill>
    </fill>
    <fill>
      <patternFill patternType="solid">
        <fgColor rgb="FFF4B183"/>
        <bgColor rgb="FFF8CBAD"/>
      </patternFill>
    </fill>
    <fill>
      <patternFill patternType="solid">
        <fgColor rgb="FFFBE5D6"/>
        <bgColor rgb="FFFFF2CC"/>
      </patternFill>
    </fill>
    <fill>
      <patternFill patternType="solid">
        <fgColor rgb="FFF8CBAD"/>
        <bgColor rgb="FFFFE699"/>
      </patternFill>
    </fill>
    <fill>
      <patternFill patternType="solid">
        <fgColor rgb="FF002060"/>
        <bgColor rgb="FF000080"/>
      </patternFill>
    </fill>
    <fill>
      <patternFill patternType="solid">
        <fgColor rgb="FFFFFFFF"/>
        <bgColor rgb="FFFFF2CC"/>
      </patternFill>
    </fill>
    <fill>
      <patternFill patternType="solid">
        <fgColor rgb="FFFFD966"/>
        <bgColor rgb="FFFFE699"/>
      </patternFill>
    </fill>
    <fill>
      <patternFill patternType="solid">
        <fgColor rgb="FF5B9BD5"/>
        <bgColor rgb="FF8FAADC"/>
      </patternFill>
    </fill>
    <fill>
      <patternFill patternType="solid">
        <fgColor rgb="FFB4C7E7"/>
        <bgColor rgb="FFBDD7EE"/>
      </patternFill>
    </fill>
    <fill>
      <patternFill patternType="solid">
        <fgColor rgb="FFA9D18E"/>
        <bgColor rgb="FFB4C7E7"/>
      </patternFill>
    </fill>
    <fill>
      <patternFill patternType="solid">
        <fgColor rgb="FFDAE3F3"/>
        <bgColor rgb="FFE2F0D9"/>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62">
    <xf numFmtId="0" fontId="0" fillId="0" borderId="0" xfId="0"/>
    <xf numFmtId="0" fontId="0" fillId="18" borderId="0" xfId="0" applyFill="1" applyAlignment="1">
      <alignment horizontal="left" vertical="center" wrapText="1"/>
    </xf>
    <xf numFmtId="0" fontId="1" fillId="18" borderId="0" xfId="0" applyFont="1" applyFill="1" applyAlignment="1">
      <alignment horizontal="left" vertical="center" wrapText="1"/>
    </xf>
    <xf numFmtId="0" fontId="0" fillId="17" borderId="0" xfId="0" applyFill="1" applyAlignment="1">
      <alignment horizontal="center" vertical="center" textRotation="90" wrapText="1"/>
    </xf>
    <xf numFmtId="0" fontId="0" fillId="0" borderId="0" xfId="0" applyAlignment="1">
      <alignment horizontal="left" wrapText="1"/>
    </xf>
    <xf numFmtId="0" fontId="1" fillId="11" borderId="0" xfId="0" applyFont="1" applyFill="1" applyAlignment="1">
      <alignment horizontal="left" wrapText="1"/>
    </xf>
    <xf numFmtId="0" fontId="0" fillId="0" borderId="0" xfId="0" applyAlignment="1">
      <alignment horizontal="left"/>
    </xf>
    <xf numFmtId="0" fontId="2" fillId="12" borderId="0" xfId="0" applyFont="1" applyFill="1" applyAlignment="1">
      <alignment horizontal="left" wrapText="1"/>
    </xf>
    <xf numFmtId="0" fontId="0" fillId="9" borderId="0" xfId="0" applyFill="1" applyAlignment="1">
      <alignment horizontal="center" vertical="center" textRotation="90" wrapText="1"/>
    </xf>
    <xf numFmtId="0" fontId="0" fillId="7" borderId="0" xfId="0" applyFill="1" applyAlignment="1">
      <alignment horizontal="center" vertical="center" textRotation="90" wrapText="1"/>
    </xf>
    <xf numFmtId="0" fontId="0" fillId="4" borderId="0" xfId="0" applyFill="1" applyAlignment="1">
      <alignment horizontal="center" vertical="center" textRotation="90" wrapText="1"/>
    </xf>
    <xf numFmtId="0" fontId="8" fillId="2" borderId="0" xfId="0" applyFont="1" applyFill="1" applyAlignment="1">
      <alignment horizontal="left" wrapText="1"/>
    </xf>
    <xf numFmtId="0" fontId="1" fillId="0" borderId="0" xfId="0" applyFont="1" applyAlignment="1">
      <alignment vertical="top"/>
    </xf>
    <xf numFmtId="0" fontId="0" fillId="0" borderId="0" xfId="0" applyAlignment="1">
      <alignment vertical="top" wrapText="1"/>
    </xf>
    <xf numFmtId="0" fontId="2" fillId="2" borderId="0" xfId="0" applyFont="1" applyFill="1" applyAlignment="1">
      <alignment vertical="top"/>
    </xf>
    <xf numFmtId="0" fontId="4" fillId="2" borderId="0" xfId="0" applyFont="1" applyFill="1" applyAlignment="1">
      <alignment vertical="top" wrapText="1"/>
    </xf>
    <xf numFmtId="0" fontId="4" fillId="2" borderId="0" xfId="0" applyFont="1" applyFill="1"/>
    <xf numFmtId="0" fontId="5" fillId="3" borderId="0" xfId="0" applyFont="1" applyFill="1" applyAlignment="1">
      <alignment vertical="top"/>
    </xf>
    <xf numFmtId="0" fontId="6" fillId="3" borderId="0" xfId="0" applyFont="1" applyFill="1" applyAlignment="1">
      <alignment vertical="top" wrapText="1"/>
    </xf>
    <xf numFmtId="0" fontId="6" fillId="3" borderId="0" xfId="0" applyFont="1" applyFill="1"/>
    <xf numFmtId="0" fontId="1" fillId="0" borderId="0" xfId="0" applyFont="1" applyAlignment="1">
      <alignment vertical="top" wrapText="1"/>
    </xf>
    <xf numFmtId="0" fontId="7" fillId="0" borderId="0" xfId="0" applyFont="1" applyAlignment="1">
      <alignment vertical="top" wrapText="1"/>
    </xf>
    <xf numFmtId="0" fontId="2" fillId="2" borderId="0" xfId="0" applyFont="1" applyFill="1" applyAlignment="1">
      <alignment wrapText="1"/>
    </xf>
    <xf numFmtId="0" fontId="2" fillId="0" borderId="0" xfId="0" applyFont="1" applyAlignment="1">
      <alignment wrapText="1"/>
    </xf>
    <xf numFmtId="0" fontId="0" fillId="5" borderId="0" xfId="0" applyFill="1"/>
    <xf numFmtId="0" fontId="0" fillId="6" borderId="1" xfId="0" applyFill="1" applyBorder="1"/>
    <xf numFmtId="0" fontId="0" fillId="0" borderId="0" xfId="0" applyAlignment="1">
      <alignment horizontal="center" vertical="center" textRotation="90" wrapText="1"/>
    </xf>
    <xf numFmtId="0" fontId="0" fillId="8" borderId="0" xfId="0" applyFill="1"/>
    <xf numFmtId="0" fontId="0" fillId="10" borderId="0" xfId="0" applyFill="1"/>
    <xf numFmtId="0" fontId="1" fillId="10" borderId="0" xfId="0" applyFont="1" applyFill="1" applyAlignment="1">
      <alignment wrapText="1"/>
    </xf>
    <xf numFmtId="2" fontId="1" fillId="11" borderId="0" xfId="0" applyNumberFormat="1" applyFont="1" applyFill="1"/>
    <xf numFmtId="2" fontId="0" fillId="0" borderId="0" xfId="0" applyNumberFormat="1"/>
    <xf numFmtId="2" fontId="0" fillId="6" borderId="1" xfId="0" applyNumberFormat="1" applyFill="1" applyBorder="1"/>
    <xf numFmtId="0" fontId="0" fillId="13" borderId="1" xfId="0" applyFill="1" applyBorder="1"/>
    <xf numFmtId="0" fontId="1" fillId="0" borderId="0" xfId="0" applyFont="1"/>
    <xf numFmtId="2" fontId="1" fillId="0" borderId="0" xfId="0" applyNumberFormat="1" applyFont="1"/>
    <xf numFmtId="0" fontId="1" fillId="14" borderId="0" xfId="0" applyFont="1" applyFill="1"/>
    <xf numFmtId="2" fontId="1" fillId="14" borderId="0" xfId="0" applyNumberFormat="1" applyFont="1" applyFill="1"/>
    <xf numFmtId="0" fontId="1" fillId="11" borderId="0" xfId="0" applyFont="1" applyFill="1"/>
    <xf numFmtId="0" fontId="9" fillId="15" borderId="0" xfId="0" applyFont="1" applyFill="1"/>
    <xf numFmtId="0" fontId="4" fillId="15" borderId="0" xfId="0" applyFont="1" applyFill="1"/>
    <xf numFmtId="0" fontId="8" fillId="12" borderId="0" xfId="0" applyFont="1" applyFill="1"/>
    <xf numFmtId="0" fontId="2" fillId="12" borderId="0" xfId="0" applyFont="1" applyFill="1"/>
    <xf numFmtId="0" fontId="2" fillId="0" borderId="0" xfId="0" applyFont="1"/>
    <xf numFmtId="0" fontId="0" fillId="0" borderId="0" xfId="0" applyAlignment="1">
      <alignment horizontal="right" vertical="center" textRotation="90" wrapText="1"/>
    </xf>
    <xf numFmtId="0" fontId="1" fillId="10" borderId="0" xfId="0" applyFont="1" applyFill="1"/>
    <xf numFmtId="0" fontId="10" fillId="0" borderId="0" xfId="0" applyFont="1"/>
    <xf numFmtId="0" fontId="11" fillId="10" borderId="0" xfId="0" applyFont="1" applyFill="1"/>
    <xf numFmtId="2" fontId="0" fillId="10" borderId="0" xfId="0" applyNumberFormat="1" applyFill="1"/>
    <xf numFmtId="0" fontId="0" fillId="16" borderId="0" xfId="0" applyFill="1"/>
    <xf numFmtId="164" fontId="0" fillId="10" borderId="0" xfId="0" applyNumberFormat="1" applyFill="1"/>
    <xf numFmtId="0" fontId="0" fillId="18" borderId="0" xfId="0" applyFill="1"/>
    <xf numFmtId="0" fontId="0" fillId="18" borderId="0" xfId="0" applyFill="1" applyAlignment="1">
      <alignment horizontal="left" vertical="center" wrapText="1"/>
    </xf>
    <xf numFmtId="0" fontId="0" fillId="18" borderId="0" xfId="0" applyFill="1" applyAlignment="1">
      <alignment horizontal="right" vertical="center" wrapText="1"/>
    </xf>
    <xf numFmtId="0" fontId="11" fillId="8" borderId="0" xfId="0" applyFont="1" applyFill="1"/>
    <xf numFmtId="164" fontId="0" fillId="8" borderId="0" xfId="0" applyNumberFormat="1" applyFill="1"/>
    <xf numFmtId="0" fontId="1" fillId="8" borderId="0" xfId="0" applyFont="1" applyFill="1"/>
    <xf numFmtId="2" fontId="1" fillId="8" borderId="0" xfId="0" applyNumberFormat="1" applyFont="1" applyFill="1"/>
    <xf numFmtId="165" fontId="1" fillId="8" borderId="0" xfId="0" applyNumberFormat="1" applyFont="1" applyFill="1"/>
    <xf numFmtId="0" fontId="1" fillId="9" borderId="0" xfId="0" applyFont="1" applyFill="1"/>
    <xf numFmtId="0" fontId="0" fillId="9" borderId="0" xfId="0" applyFill="1"/>
    <xf numFmtId="0" fontId="0" fillId="11" borderId="0" xfId="0" applyFill="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8FAADC"/>
      <rgbColor rgb="FF993366"/>
      <rgbColor rgb="FFFFF2CC"/>
      <rgbColor rgb="FFDAE3F3"/>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FBE5D6"/>
      <rgbColor rgb="FFE2F0D9"/>
      <rgbColor rgb="FFFFE699"/>
      <rgbColor rgb="FFA9D18E"/>
      <rgbColor rgb="FFF4B183"/>
      <rgbColor rgb="FFCC99FF"/>
      <rgbColor rgb="FFF8CBAD"/>
      <rgbColor rgb="FF4472C4"/>
      <rgbColor rgb="FF33CCCC"/>
      <rgbColor rgb="FF99CC00"/>
      <rgbColor rgb="FFFFD966"/>
      <rgbColor rgb="FFFF9900"/>
      <rgbColor rgb="FFFF6600"/>
      <rgbColor rgb="FF666699"/>
      <rgbColor rgb="FF5B9BD5"/>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985680</xdr:colOff>
      <xdr:row>5</xdr:row>
      <xdr:rowOff>46800</xdr:rowOff>
    </xdr:from>
    <xdr:to>
      <xdr:col>6</xdr:col>
      <xdr:colOff>285840</xdr:colOff>
      <xdr:row>15</xdr:row>
      <xdr:rowOff>128160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0898640" y="2013120"/>
          <a:ext cx="3381840" cy="2945160"/>
        </a:xfrm>
        <a:prstGeom prst="rect">
          <a:avLst/>
        </a:prstGeom>
        <a:solidFill>
          <a:srgbClr val="FFFFFF"/>
        </a:solidFill>
        <a:ln w="3816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GB" sz="1800" b="1" strike="noStrike" spc="-1">
              <a:solidFill>
                <a:srgbClr val="FF0000"/>
              </a:solidFill>
              <a:latin typeface="Calibri"/>
            </a:rPr>
            <a:t>Important: </a:t>
          </a:r>
          <a:endParaRPr lang="fr-CH" sz="1800" b="0" strike="noStrike" spc="-1">
            <a:latin typeface="Times New Roman"/>
          </a:endParaRPr>
        </a:p>
        <a:p>
          <a:pPr>
            <a:lnSpc>
              <a:spcPct val="100000"/>
            </a:lnSpc>
          </a:pPr>
          <a:r>
            <a:rPr lang="en-GB" sz="1800" b="0" strike="noStrike" spc="-1">
              <a:solidFill>
                <a:srgbClr val="000000"/>
              </a:solidFill>
              <a:latin typeface="Calibri"/>
            </a:rPr>
            <a:t>Ce tableau est une ébauche. Les résultats de ces calculs doivent être vérifiés manuellement.   </a:t>
          </a:r>
          <a:endParaRPr lang="fr-CH" sz="1800" b="0" strike="noStrike" spc="-1">
            <a:latin typeface="Times New Roman"/>
          </a:endParaRPr>
        </a:p>
        <a:p>
          <a:pPr>
            <a:lnSpc>
              <a:spcPct val="100000"/>
            </a:lnSpc>
          </a:pPr>
          <a:endParaRPr lang="fr-CH" sz="1800" b="0" strike="noStrike" spc="-1">
            <a:latin typeface="Times New Roman"/>
          </a:endParaRPr>
        </a:p>
        <a:p>
          <a:pPr>
            <a:lnSpc>
              <a:spcPct val="100000"/>
            </a:lnSpc>
          </a:pPr>
          <a:r>
            <a:rPr lang="en-GB" sz="1800" b="0" strike="noStrike" spc="-1">
              <a:solidFill>
                <a:srgbClr val="000000"/>
              </a:solidFill>
              <a:latin typeface="Calibri"/>
            </a:rPr>
            <a:t>Pour plus d'informations: www.bilbau.ch/fr/</a:t>
          </a:r>
          <a:endParaRPr lang="fr-CH" sz="1800" b="0" strike="noStrike" spc="-1">
            <a:latin typeface="Times New Roman"/>
          </a:endParaRPr>
        </a:p>
      </xdr:txBody>
    </xdr:sp>
    <xdr:clientData/>
  </xdr:twoCellAnchor>
  <xdr:twoCellAnchor editAs="oneCell">
    <xdr:from>
      <xdr:col>1</xdr:col>
      <xdr:colOff>360</xdr:colOff>
      <xdr:row>33</xdr:row>
      <xdr:rowOff>0</xdr:rowOff>
    </xdr:from>
    <xdr:to>
      <xdr:col>1</xdr:col>
      <xdr:colOff>634680</xdr:colOff>
      <xdr:row>36</xdr:row>
      <xdr:rowOff>24840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910880" y="9923040"/>
          <a:ext cx="634320" cy="6249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63360</xdr:colOff>
      <xdr:row>31</xdr:row>
      <xdr:rowOff>38520</xdr:rowOff>
    </xdr:from>
    <xdr:to>
      <xdr:col>0</xdr:col>
      <xdr:colOff>1472400</xdr:colOff>
      <xdr:row>31</xdr:row>
      <xdr:rowOff>439200</xdr:rowOff>
    </xdr:to>
    <xdr:pic>
      <xdr:nvPicPr>
        <xdr:cNvPr id="4" name="Picture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63360" y="8793720"/>
          <a:ext cx="1409040" cy="400680"/>
        </a:xfrm>
        <a:prstGeom prst="rect">
          <a:avLst/>
        </a:prstGeom>
        <a:ln>
          <a:noFill/>
        </a:ln>
      </xdr:spPr>
    </xdr:pic>
    <xdr:clientData/>
  </xdr:twoCellAnchor>
</xdr:wsDr>
</file>

<file path=xl/revisions/_rels/revisionHeaders.xml.rels><?xml version="1.0" encoding="UTF-8" standalone="yes"?>
<Relationships xmlns="http://schemas.openxmlformats.org/package/2006/relationships"><Relationship Id="rId18" Type="http://schemas.openxmlformats.org/officeDocument/2006/relationships/revisionLog" Target="revisionLog18.xml"/><Relationship Id="rId21" Type="http://schemas.openxmlformats.org/officeDocument/2006/relationships/revisionLog" Target="revisionLog21.xml"/><Relationship Id="rId17" Type="http://schemas.openxmlformats.org/officeDocument/2006/relationships/revisionLog" Target="revisionLog17.xml"/><Relationship Id="rId20" Type="http://schemas.openxmlformats.org/officeDocument/2006/relationships/revisionLog" Target="revisionLog20.xml"/><Relationship Id="rId19" Type="http://schemas.openxmlformats.org/officeDocument/2006/relationships/revisionLog" Target="revisionLog19.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C7F545A-8D12-B847-ACAA-10AE5466BA26}" diskRevisions="1" revisionId="2" version="3">
  <header guid="{4F0F4567-2D37-4411-BB80-8A03D33CBF55}" dateTime="2025-01-09T11:24:00" maxSheetId="4" userName=" " r:id="rId17" minRId="45">
    <sheetIdMap count="3">
      <sheetId val="1"/>
      <sheetId val="2"/>
      <sheetId val="3"/>
    </sheetIdMap>
  </header>
  <header guid="{EAAC320F-8C27-44C0-A3C7-6766B700E475}" dateTime="2025-01-09T11:26:00" maxSheetId="4" userName=" " r:id="rId18" minRId="46">
    <sheetIdMap count="3">
      <sheetId val="1"/>
      <sheetId val="2"/>
      <sheetId val="3"/>
    </sheetIdMap>
  </header>
  <header guid="{C0D998E6-C5B7-4EB7-B1DF-5A5475D25EB0}" dateTime="2025-01-09T11:27:00" maxSheetId="4" userName=" " r:id="rId19" minRId="47" maxRId="53">
    <sheetIdMap count="3">
      <sheetId val="1"/>
      <sheetId val="2"/>
      <sheetId val="3"/>
    </sheetIdMap>
  </header>
  <header guid="{EC93795F-C48D-4387-8ACD-875AF4AD18A6}" dateTime="2025-01-09T11:28:00" maxSheetId="4" userName=" " r:id="rId20" minRId="54" maxRId="61">
    <sheetIdMap count="3">
      <sheetId val="1"/>
      <sheetId val="2"/>
      <sheetId val="3"/>
    </sheetIdMap>
  </header>
  <header guid="{70E3FF70-D1FB-2F4F-952B-6A1E601C86C0}" dateTime="2025-01-09T11:43:45" maxSheetId="4" userName="Simon Schneebeli" r:id="rId21" minRId="1">
    <sheetIdMap count="3">
      <sheetId val="1"/>
      <sheetId val="2"/>
      <sheetId val="3"/>
    </sheetIdMap>
  </header>
  <header guid="{AC7F545A-8D12-B847-ACAA-10AE5466BA26}" dateTime="2025-01-09T11:43:57" maxSheetId="4" userName="Simon Schneebeli" r:id="rId22" minRId="2">
    <sheetIdMap count="3">
      <sheetId val="1"/>
      <sheetId val="2"/>
      <sheetId val="3"/>
    </sheetIdMap>
  </header>
</headers>
</file>

<file path=xl/revisions/revisionLog17.xml><?xml version="1.0" encoding="utf-8"?>
<revisions xmlns="http://schemas.openxmlformats.org/spreadsheetml/2006/main" xmlns:r="http://schemas.openxmlformats.org/officeDocument/2006/relationships">
  <rcc rId="45" ua="false" sId="3">
    <oc r="B2" t="inlineStr">
      <is>
        <r>
          <rPr>
            <sz val="12"/>
            <color rgb="FF000000"/>
            <rFont val="Calibri"/>
            <family val="2"/>
            <charset val="1"/>
          </rPr>
          <t xml:space="preserve">Épaississeur de la peinture</t>
        </r>
      </is>
    </oc>
    <nc r="B2" t="inlineStr">
      <is>
        <r>
          <rPr>
            <sz val="12"/>
            <color rgb="FF000000"/>
            <rFont val="Calibri"/>
            <family val="2"/>
            <charset val="1"/>
          </rPr>
          <t xml:space="preserve">Épaisseur de la peinture</t>
        </r>
      </is>
    </nc>
  </rcc>
</revisions>
</file>

<file path=xl/revisions/revisionLog18.xml><?xml version="1.0" encoding="utf-8"?>
<revisions xmlns="http://schemas.openxmlformats.org/spreadsheetml/2006/main" xmlns:r="http://schemas.openxmlformats.org/officeDocument/2006/relationships">
  <rcc rId="46" ua="false" sId="3">
    <oc r="M5" t="inlineStr">
      <is>
        <r>
          <rPr>
            <sz val="12"/>
            <color rgb="FF000000"/>
            <rFont val="Calibri"/>
            <family val="2"/>
            <charset val="1"/>
          </rPr>
          <t xml:space="preserve">Epaisseur</t>
        </r>
      </is>
    </oc>
    <nc r="M5" t="inlineStr">
      <is>
        <r>
          <rPr>
            <sz val="12"/>
            <color rgb="FF000000"/>
            <rFont val="Calibri"/>
            <family val="2"/>
            <charset val="1"/>
          </rPr>
          <t xml:space="preserve">Épaisseur</t>
        </r>
      </is>
    </nc>
  </rcc>
</revisions>
</file>

<file path=xl/revisions/revisionLog19.xml><?xml version="1.0" encoding="utf-8"?>
<revisions xmlns="http://schemas.openxmlformats.org/spreadsheetml/2006/main" xmlns:r="http://schemas.openxmlformats.org/officeDocument/2006/relationships">
  <rcc rId="47" ua="false" sId="3">
    <oc r="M25" t="inlineStr">
      <is>
        <r>
          <rPr>
            <sz val="12"/>
            <color rgb="FF000000"/>
            <rFont val="Calibri"/>
            <family val="2"/>
            <charset val="1"/>
          </rPr>
          <t xml:space="preserve">Epaisseur</t>
        </r>
      </is>
    </oc>
    <nc r="M25" t="inlineStr">
      <is>
        <r>
          <rPr>
            <sz val="12"/>
            <color rgb="FF000000"/>
            <rFont val="Calibri"/>
            <family val="2"/>
            <charset val="1"/>
          </rPr>
          <t xml:space="preserve">Épaisseur</t>
        </r>
      </is>
    </nc>
  </rcc>
  <rcc rId="48" ua="false" sId="3">
    <oc r="M30" t="inlineStr">
      <is>
        <r>
          <rPr>
            <sz val="12"/>
            <color rgb="FF000000"/>
            <rFont val="Calibri"/>
            <family val="2"/>
            <charset val="1"/>
          </rPr>
          <t xml:space="preserve">Epaisseur totale</t>
        </r>
      </is>
    </oc>
    <nc r="M30" t="inlineStr">
      <is>
        <r>
          <rPr>
            <sz val="12"/>
            <color rgb="FF000000"/>
            <rFont val="Calibri"/>
            <family val="2"/>
          </rPr>
          <t xml:space="preserve">Épaisseur</t>
        </r>
        <r>
          <rPr>
            <sz val="12"/>
            <color rgb="FF000000"/>
            <rFont val="Calibri"/>
            <family val="2"/>
            <charset val="1"/>
          </rPr>
          <t xml:space="preserve"> totale</t>
        </r>
      </is>
    </nc>
  </rcc>
  <rcc rId="49" ua="false" sId="3">
    <oc r="M32" t="inlineStr">
      <is>
        <r>
          <rPr>
            <sz val="12"/>
            <color rgb="FF000000"/>
            <rFont val="Calibri"/>
            <family val="2"/>
            <charset val="1"/>
          </rPr>
          <t xml:space="preserve">Concentration sur l'ensembl.</t>
        </r>
      </is>
    </oc>
    <nc r="M32" t="inlineStr">
      <is>
        <r>
          <rPr>
            <sz val="12"/>
            <color rgb="FF000000"/>
            <rFont val="Calibri"/>
            <family val="2"/>
            <charset val="1"/>
          </rPr>
          <t xml:space="preserve">Concentration sur l'ensemble.</t>
        </r>
      </is>
    </nc>
  </rcc>
  <rcc rId="50" ua="false" sId="3">
    <oc r="M32" t="inlineStr">
      <is>
        <r>
          <rPr>
            <sz val="12"/>
            <color rgb="FF000000"/>
            <rFont val="Calibri"/>
            <family val="2"/>
            <charset val="1"/>
          </rPr>
          <t xml:space="preserve">Concentration sur l'ensemble.</t>
        </r>
      </is>
    </oc>
    <nc r="M32" t="inlineStr">
      <is>
        <r>
          <rPr>
            <sz val="12"/>
            <color rgb="FF000000"/>
            <rFont val="Calibri"/>
            <family val="2"/>
            <charset val="1"/>
          </rPr>
          <t xml:space="preserve">Concentration sur l'ensemble</t>
        </r>
      </is>
    </nc>
  </rcc>
  <rcc rId="51" ua="false" sId="3">
    <oc r="R30" t="inlineStr">
      <is>
        <r>
          <rPr>
            <sz val="12"/>
            <color rgb="FF000000"/>
            <rFont val="Calibri"/>
            <family val="2"/>
            <charset val="1"/>
          </rPr>
          <t xml:space="preserve">Epaisseur totale</t>
        </r>
      </is>
    </oc>
    <nc r="R30" t="inlineStr">
      <is>
        <r>
          <rPr>
            <sz val="12"/>
            <color rgb="FF000000"/>
            <rFont val="Calibri"/>
            <family val="2"/>
          </rPr>
          <t xml:space="preserve">Épaisseur</t>
        </r>
        <r>
          <rPr>
            <sz val="12"/>
            <color rgb="FF000000"/>
            <rFont val="Calibri"/>
            <family val="2"/>
            <charset val="1"/>
          </rPr>
          <t xml:space="preserve"> totale</t>
        </r>
      </is>
    </nc>
  </rcc>
  <rcc rId="52" ua="false" sId="3">
    <oc r="R32" t="inlineStr">
      <is>
        <r>
          <rPr>
            <sz val="12"/>
            <color rgb="FF000000"/>
            <rFont val="Calibri"/>
            <family val="2"/>
            <charset val="1"/>
          </rPr>
          <t xml:space="preserve">Concentration sur l'ensembl.</t>
        </r>
      </is>
    </oc>
    <nc r="R32" t="inlineStr">
      <is>
        <r>
          <rPr>
            <sz val="12"/>
            <color rgb="FF000000"/>
            <rFont val="Calibri"/>
            <family val="2"/>
            <charset val="1"/>
          </rPr>
          <t xml:space="preserve">Concentration sur l'ensemble</t>
        </r>
      </is>
    </nc>
  </rcc>
  <rcc rId="53" ua="false" sId="3">
    <oc r="R25" t="inlineStr">
      <is>
        <r>
          <rPr>
            <sz val="12"/>
            <color rgb="FF000000"/>
            <rFont val="Calibri"/>
            <family val="2"/>
            <charset val="1"/>
          </rPr>
          <t xml:space="preserve">Epaisseur</t>
        </r>
      </is>
    </oc>
    <nc r="R25" t="inlineStr">
      <is>
        <r>
          <rPr>
            <sz val="12"/>
            <color rgb="FF000000"/>
            <rFont val="Calibri"/>
            <family val="2"/>
            <charset val="1"/>
          </rPr>
          <t xml:space="preserve">Épaisseur</t>
        </r>
      </is>
    </nc>
  </rcc>
</revisions>
</file>

<file path=xl/revisions/revisionLog20.xml><?xml version="1.0" encoding="utf-8"?>
<revisions xmlns="http://schemas.openxmlformats.org/spreadsheetml/2006/main" xmlns:r="http://schemas.openxmlformats.org/officeDocument/2006/relationships">
  <rcc rId="54" ua="false" sId="3">
    <oc r="R13" t="inlineStr">
      <is>
        <r>
          <rPr>
            <sz val="12"/>
            <color rgb="FF000000"/>
            <rFont val="Calibri"/>
            <family val="2"/>
            <charset val="1"/>
          </rPr>
          <t xml:space="preserve">Epaisseur</t>
        </r>
      </is>
    </oc>
    <nc r="R13" t="inlineStr">
      <is>
        <r>
          <rPr>
            <sz val="12"/>
            <color rgb="FF000000"/>
            <rFont val="Calibri"/>
            <family val="2"/>
            <charset val="1"/>
          </rPr>
          <t xml:space="preserve">Épaisseur</t>
        </r>
      </is>
    </nc>
  </rcc>
  <rcc rId="55" ua="false" sId="3">
    <oc r="W20" t="inlineStr">
      <is>
        <r>
          <rPr>
            <sz val="12"/>
            <color rgb="FF000000"/>
            <rFont val="Calibri"/>
            <family val="2"/>
            <charset val="1"/>
          </rPr>
          <t xml:space="preserve">Epaisseur</t>
        </r>
      </is>
    </oc>
    <nc r="W20" t="inlineStr">
      <is>
        <r>
          <rPr>
            <sz val="12"/>
            <color rgb="FF000000"/>
            <rFont val="Calibri"/>
            <family val="2"/>
            <charset val="1"/>
          </rPr>
          <t xml:space="preserve">Épaisseur</t>
        </r>
      </is>
    </nc>
  </rcc>
  <rcc rId="56" ua="false" sId="3">
    <oc r="W23" t="inlineStr">
      <is>
        <r>
          <rPr>
            <sz val="12"/>
            <color rgb="FF000000"/>
            <rFont val="Calibri"/>
            <family val="2"/>
            <charset val="1"/>
          </rPr>
          <t xml:space="preserve">Ø Concentration</t>
        </r>
      </is>
    </oc>
    <nc r="W23" t="inlineStr">
      <is>
        <r>
          <rPr>
            <sz val="12"/>
            <color rgb="FF000000"/>
            <rFont val="Calibri"/>
            <family val="2"/>
            <charset val="1"/>
          </rPr>
          <t xml:space="preserve">Ø concentration</t>
        </r>
      </is>
    </nc>
  </rcc>
  <rcc rId="57" ua="false" sId="3">
    <oc r="R16" t="inlineStr">
      <is>
        <r>
          <rPr>
            <sz val="12"/>
            <color rgb="FF000000"/>
            <rFont val="Calibri"/>
            <family val="2"/>
            <charset val="1"/>
          </rPr>
          <t xml:space="preserve">Ø Concentration</t>
        </r>
      </is>
    </oc>
    <nc r="R16" t="inlineStr">
      <is>
        <r>
          <rPr>
            <sz val="12"/>
            <color rgb="FF000000"/>
            <rFont val="Calibri"/>
            <family val="2"/>
            <charset val="1"/>
          </rPr>
          <t xml:space="preserve">Ø concentration</t>
        </r>
      </is>
    </nc>
  </rcc>
  <rcc rId="58" ua="false" sId="3">
    <oc r="W25" t="inlineStr">
      <is>
        <r>
          <rPr>
            <sz val="12"/>
            <color rgb="FF000000"/>
            <rFont val="Calibri"/>
            <family val="2"/>
            <charset val="1"/>
          </rPr>
          <t xml:space="preserve">Epaisseur</t>
        </r>
      </is>
    </oc>
    <nc r="W25" t="inlineStr">
      <is>
        <r>
          <rPr>
            <sz val="12"/>
            <color rgb="FF000000"/>
            <rFont val="Calibri"/>
            <family val="2"/>
            <charset val="1"/>
          </rPr>
          <t xml:space="preserve">Épaisseur</t>
        </r>
      </is>
    </nc>
  </rcc>
  <rcc rId="59" ua="false" sId="3">
    <oc r="W30" t="inlineStr">
      <is>
        <r>
          <rPr>
            <sz val="12"/>
            <color rgb="FF000000"/>
            <rFont val="Calibri"/>
            <family val="2"/>
            <charset val="1"/>
          </rPr>
          <t xml:space="preserve">Epaisseur totale</t>
        </r>
      </is>
    </oc>
    <nc r="W30" t="inlineStr">
      <is>
        <r>
          <rPr>
            <sz val="12"/>
            <color rgb="FF000000"/>
            <rFont val="Calibri"/>
            <family val="2"/>
          </rPr>
          <t xml:space="preserve">Épaisseur</t>
        </r>
        <r>
          <rPr>
            <sz val="12"/>
            <color rgb="FF000000"/>
            <rFont val="Calibri"/>
            <family val="2"/>
            <charset val="1"/>
          </rPr>
          <t xml:space="preserve"> totale</t>
        </r>
      </is>
    </nc>
  </rcc>
  <rcc rId="60" ua="false" sId="3">
    <oc r="W32" t="inlineStr">
      <is>
        <r>
          <rPr>
            <sz val="12"/>
            <color rgb="FF000000"/>
            <rFont val="Calibri"/>
            <family val="2"/>
            <charset val="1"/>
          </rPr>
          <t xml:space="preserve">Concentration sur l'ensembl.</t>
        </r>
      </is>
    </oc>
    <nc r="W32" t="inlineStr">
      <is>
        <r>
          <rPr>
            <sz val="12"/>
            <color rgb="FF000000"/>
            <rFont val="Calibri"/>
            <family val="2"/>
            <charset val="1"/>
          </rPr>
          <t xml:space="preserve">Concentration sur l'ensemble</t>
        </r>
      </is>
    </nc>
  </rcc>
  <rcc rId="61" ua="false" sId="3">
    <oc r="L53" t="inlineStr">
      <is>
        <r>
          <rPr>
            <sz val="12"/>
            <color rgb="FF000000"/>
            <rFont val="Calibri"/>
            <family val="2"/>
            <charset val="1"/>
          </rPr>
          <t xml:space="preserve">Coûts totaux  assainissement et élimination</t>
        </r>
      </is>
    </oc>
    <nc r="L53" t="inlineStr">
      <is>
        <r>
          <rPr>
            <sz val="12"/>
            <color rgb="FF000000"/>
            <rFont val="Calibri"/>
            <family val="2"/>
            <charset val="1"/>
          </rPr>
          <t xml:space="preserve">Coûts totaux assainissement et élimination</t>
        </r>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1" t="inlineStr">
      <is>
        <r>
          <rPr>
            <b/>
            <sz val="14"/>
            <color rgb="FFFFFFFF"/>
            <rFont val="Calibri"/>
            <family val="2"/>
            <charset val="1"/>
          </rPr>
          <t xml:space="preserve">Calcul de la charge polluante sur l'épaisseur d'un élément de construction </t>
        </r>
        <r>
          <rPr>
            <b/>
            <sz val="14"/>
            <color rgb="FFFFFF00"/>
            <rFont val="Calibri (Body)"/>
            <charset val="1"/>
          </rPr>
          <t>(Ébauche, version 1.3)</t>
        </r>
      </is>
    </oc>
    <nc r="A1" t="inlineStr">
      <is>
        <r>
          <t xml:space="preserve">Calcul de la charge polluante sur l'épaisseur d'un élément de construction </t>
        </r>
        <r>
          <rPr>
            <b/>
            <sz val="14"/>
            <color rgb="FFFFFF00"/>
            <rFont val="Calibri (Body)"/>
            <charset val="1"/>
          </rPr>
          <t>(Ébauche, version 1.3)</t>
        </r>
      </is>
    </nc>
  </rcc>
  <rcv guid="{238FE9F7-9E46-F14F-9229-96AB9710E81D}"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A1" t="inlineStr">
      <is>
        <r>
          <t xml:space="preserve">Calcul de la charge polluante sur l'épaisseur d'un élément de construction </t>
        </r>
        <r>
          <rPr>
            <b/>
            <sz val="14"/>
            <color rgb="FFFFFF00"/>
            <rFont val="Calibri (Body)"/>
            <charset val="1"/>
          </rPr>
          <t>(Ébauche, version 1.3)</t>
        </r>
      </is>
    </oc>
    <nc r="A1" t="inlineStr">
      <is>
        <r>
          <t xml:space="preserve">Calcul de la charge polluante sur l'épaisseur d'un élément de construction </t>
        </r>
        <r>
          <rPr>
            <b/>
            <sz val="14"/>
            <color rgb="FFFFFF00"/>
            <rFont val="Calibri (Body)"/>
            <charset val="1"/>
          </rPr>
          <t>(Ébauche, version 1.4)</t>
        </r>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zoomScale="110" zoomScaleNormal="110" workbookViewId="0">
      <selection activeCell="A2" sqref="A2"/>
    </sheetView>
  </sheetViews>
  <sheetFormatPr baseColWidth="10" defaultColWidth="10.5" defaultRowHeight="16" x14ac:dyDescent="0.2"/>
  <cols>
    <col min="1" max="1" width="19.6640625" style="12" customWidth="1"/>
    <col min="2" max="2" width="82.33203125" style="13" customWidth="1"/>
  </cols>
  <sheetData>
    <row r="1" spans="1:2" s="16" customFormat="1" ht="19" x14ac:dyDescent="0.2">
      <c r="A1" s="14" t="s">
        <v>120</v>
      </c>
      <c r="B1" s="15"/>
    </row>
    <row r="2" spans="1:2" s="19" customFormat="1" ht="19" x14ac:dyDescent="0.2">
      <c r="A2" s="17" t="s">
        <v>0</v>
      </c>
      <c r="B2" s="18"/>
    </row>
    <row r="3" spans="1:2" ht="51" x14ac:dyDescent="0.2">
      <c r="A3" s="20" t="s">
        <v>1</v>
      </c>
      <c r="B3" s="13" t="s">
        <v>2</v>
      </c>
    </row>
    <row r="4" spans="1:2" ht="34" x14ac:dyDescent="0.2">
      <c r="A4" s="20"/>
      <c r="B4" s="13" t="s">
        <v>3</v>
      </c>
    </row>
    <row r="5" spans="1:2" ht="51" x14ac:dyDescent="0.2">
      <c r="A5" s="20" t="s">
        <v>4</v>
      </c>
      <c r="B5" s="13" t="s">
        <v>5</v>
      </c>
    </row>
    <row r="6" spans="1:2" x14ac:dyDescent="0.2">
      <c r="A6" s="20"/>
    </row>
    <row r="7" spans="1:2" x14ac:dyDescent="0.2">
      <c r="A7" s="20"/>
    </row>
    <row r="8" spans="1:2" x14ac:dyDescent="0.2">
      <c r="A8" s="20"/>
    </row>
    <row r="9" spans="1:2" s="19" customFormat="1" ht="19" x14ac:dyDescent="0.2">
      <c r="A9" s="17" t="s">
        <v>6</v>
      </c>
      <c r="B9" s="18"/>
    </row>
    <row r="10" spans="1:2" ht="51" x14ac:dyDescent="0.2">
      <c r="A10" s="20" t="s">
        <v>7</v>
      </c>
      <c r="B10" s="13" t="s">
        <v>8</v>
      </c>
    </row>
    <row r="11" spans="1:2" ht="17" x14ac:dyDescent="0.2">
      <c r="A11" s="20"/>
      <c r="B11" s="13" t="s">
        <v>9</v>
      </c>
    </row>
    <row r="12" spans="1:2" x14ac:dyDescent="0.2">
      <c r="A12" s="20"/>
    </row>
    <row r="13" spans="1:2" ht="51" x14ac:dyDescent="0.2">
      <c r="A13" s="20" t="s">
        <v>10</v>
      </c>
      <c r="B13" s="13" t="s">
        <v>11</v>
      </c>
    </row>
    <row r="14" spans="1:2" x14ac:dyDescent="0.2">
      <c r="A14" s="20"/>
    </row>
    <row r="15" spans="1:2" x14ac:dyDescent="0.2">
      <c r="A15" s="20"/>
    </row>
    <row r="16" spans="1:2" x14ac:dyDescent="0.2">
      <c r="A16" s="20"/>
    </row>
    <row r="17" spans="1:2" x14ac:dyDescent="0.2">
      <c r="A17" s="20"/>
    </row>
    <row r="18" spans="1:2" x14ac:dyDescent="0.2">
      <c r="A18" s="20"/>
    </row>
    <row r="19" spans="1:2" s="17" customFormat="1" ht="19" x14ac:dyDescent="0.2">
      <c r="A19" s="17" t="s">
        <v>12</v>
      </c>
    </row>
    <row r="20" spans="1:2" ht="17" x14ac:dyDescent="0.2">
      <c r="A20" s="20" t="s">
        <v>13</v>
      </c>
      <c r="B20" s="13" t="s">
        <v>9</v>
      </c>
    </row>
    <row r="21" spans="1:2" ht="34" x14ac:dyDescent="0.2">
      <c r="A21" s="20" t="s">
        <v>14</v>
      </c>
      <c r="B21" s="13" t="s">
        <v>15</v>
      </c>
    </row>
    <row r="22" spans="1:2" ht="47.5" customHeight="1" x14ac:dyDescent="0.2">
      <c r="A22" s="20" t="s">
        <v>16</v>
      </c>
      <c r="B22" s="13" t="s">
        <v>17</v>
      </c>
    </row>
    <row r="23" spans="1:2" x14ac:dyDescent="0.2">
      <c r="A23" s="20"/>
    </row>
    <row r="24" spans="1:2" x14ac:dyDescent="0.2">
      <c r="A24" s="20"/>
    </row>
    <row r="25" spans="1:2" ht="17" x14ac:dyDescent="0.2">
      <c r="A25" s="21" t="s">
        <v>18</v>
      </c>
      <c r="B25" s="13" t="s">
        <v>19</v>
      </c>
    </row>
    <row r="26" spans="1:2" ht="17" x14ac:dyDescent="0.2">
      <c r="A26" s="20"/>
      <c r="B26" s="13" t="s">
        <v>20</v>
      </c>
    </row>
    <row r="27" spans="1:2" x14ac:dyDescent="0.2">
      <c r="A27" s="20"/>
    </row>
    <row r="28" spans="1:2" x14ac:dyDescent="0.2">
      <c r="A28" s="20"/>
    </row>
    <row r="29" spans="1:2" x14ac:dyDescent="0.2">
      <c r="A29" s="20"/>
    </row>
    <row r="30" spans="1:2" s="17" customFormat="1" ht="19" x14ac:dyDescent="0.2">
      <c r="A30" s="17" t="s">
        <v>21</v>
      </c>
    </row>
    <row r="31" spans="1:2" ht="17" x14ac:dyDescent="0.2">
      <c r="A31" s="20"/>
      <c r="B31" s="13" t="s">
        <v>22</v>
      </c>
    </row>
    <row r="32" spans="1:2" ht="68" x14ac:dyDescent="0.2">
      <c r="A32" s="20"/>
      <c r="B32" s="13" t="s">
        <v>23</v>
      </c>
    </row>
    <row r="33" spans="1:2" ht="34" x14ac:dyDescent="0.2">
      <c r="A33" s="20"/>
      <c r="B33" s="20" t="s">
        <v>24</v>
      </c>
    </row>
    <row r="34" spans="1:2" x14ac:dyDescent="0.2">
      <c r="A34" s="20"/>
    </row>
    <row r="35" spans="1:2" x14ac:dyDescent="0.2">
      <c r="A35" s="20"/>
    </row>
    <row r="36" spans="1:2" x14ac:dyDescent="0.2">
      <c r="A36" s="20"/>
    </row>
  </sheetData>
  <customSheetViews>
    <customSheetView guid="{238FE9F7-9E46-F14F-9229-96AB9710E81D}" scale="110" topLeftCell="A22">
      <selection activeCell="B33" sqref="B33"/>
      <pageMargins left="0.7" right="0.7" top="0.75" bottom="0.75" header="0.51180555555555496" footer="0.51180555555555496"/>
      <pageSetup firstPageNumber="0" orientation="portrait" horizontalDpi="300" verticalDpi="300"/>
    </customSheetView>
  </customSheetViews>
  <pageMargins left="0.7" right="0.7" top="0.75" bottom="0.75"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zoomScale="110" zoomScaleNormal="110" workbookViewId="0">
      <selection activeCell="C2" sqref="C2"/>
    </sheetView>
  </sheetViews>
  <sheetFormatPr baseColWidth="10" defaultColWidth="10.5" defaultRowHeight="16" x14ac:dyDescent="0.2"/>
  <cols>
    <col min="1" max="1" width="6.1640625" customWidth="1"/>
    <col min="2" max="2" width="27.33203125" customWidth="1"/>
    <col min="3" max="4" width="8.33203125" customWidth="1"/>
    <col min="5" max="5" width="7.33203125" customWidth="1"/>
    <col min="6" max="6" width="8.33203125" customWidth="1"/>
    <col min="7" max="7" width="9.33203125" customWidth="1"/>
    <col min="8" max="8" width="10.83203125" customWidth="1"/>
    <col min="9" max="9" width="4.6640625" customWidth="1"/>
    <col min="10" max="10" width="10" customWidth="1"/>
    <col min="11" max="11" width="25" customWidth="1"/>
    <col min="12" max="12" width="9.1640625" customWidth="1"/>
    <col min="13" max="13" width="9" customWidth="1"/>
    <col min="16" max="16" width="24.1640625" customWidth="1"/>
    <col min="18" max="18" width="9" customWidth="1"/>
    <col min="21" max="21" width="24.83203125" customWidth="1"/>
    <col min="23" max="23" width="9.1640625" customWidth="1"/>
  </cols>
  <sheetData>
    <row r="1" spans="1:8" s="23" customFormat="1" ht="37.5" customHeight="1" x14ac:dyDescent="0.25">
      <c r="A1" s="11" t="s">
        <v>25</v>
      </c>
      <c r="B1" s="11"/>
      <c r="C1" s="11"/>
      <c r="D1" s="11"/>
      <c r="E1" s="22"/>
    </row>
    <row r="2" spans="1:8" ht="15.75" customHeight="1" x14ac:dyDescent="0.2">
      <c r="A2" s="10" t="s">
        <v>26</v>
      </c>
      <c r="B2" s="24" t="s">
        <v>27</v>
      </c>
      <c r="C2" s="25">
        <v>0.3</v>
      </c>
      <c r="D2" s="24" t="s">
        <v>28</v>
      </c>
    </row>
    <row r="3" spans="1:8" x14ac:dyDescent="0.2">
      <c r="A3" s="10"/>
      <c r="B3" s="24" t="s">
        <v>29</v>
      </c>
      <c r="C3" s="25">
        <v>1200</v>
      </c>
      <c r="D3" s="24" t="s">
        <v>30</v>
      </c>
    </row>
    <row r="4" spans="1:8" x14ac:dyDescent="0.2">
      <c r="A4" s="10"/>
      <c r="B4" s="24" t="s">
        <v>31</v>
      </c>
      <c r="C4" s="25">
        <v>3000</v>
      </c>
      <c r="D4" s="24" t="s">
        <v>32</v>
      </c>
    </row>
    <row r="5" spans="1:8" x14ac:dyDescent="0.2">
      <c r="A5" s="26"/>
    </row>
    <row r="6" spans="1:8" ht="15.75" customHeight="1" x14ac:dyDescent="0.2">
      <c r="A6" s="9" t="s">
        <v>33</v>
      </c>
      <c r="B6" s="27" t="s">
        <v>34</v>
      </c>
      <c r="C6" s="25">
        <v>200</v>
      </c>
      <c r="D6" s="27" t="s">
        <v>28</v>
      </c>
    </row>
    <row r="7" spans="1:8" x14ac:dyDescent="0.2">
      <c r="A7" s="9"/>
      <c r="B7" s="27" t="s">
        <v>35</v>
      </c>
      <c r="C7" s="25">
        <v>2200</v>
      </c>
      <c r="D7" s="27" t="s">
        <v>30</v>
      </c>
    </row>
    <row r="8" spans="1:8" x14ac:dyDescent="0.2">
      <c r="A8" s="26"/>
    </row>
    <row r="9" spans="1:8" ht="15.75" customHeight="1" x14ac:dyDescent="0.2">
      <c r="A9" s="8" t="s">
        <v>36</v>
      </c>
      <c r="B9" s="28" t="s">
        <v>37</v>
      </c>
      <c r="C9" s="28">
        <f>C2+C6</f>
        <v>200.3</v>
      </c>
      <c r="D9" s="28" t="s">
        <v>28</v>
      </c>
    </row>
    <row r="10" spans="1:8" x14ac:dyDescent="0.2">
      <c r="A10" s="8"/>
      <c r="B10" s="28" t="s">
        <v>14</v>
      </c>
      <c r="C10" s="28">
        <f>(C3*C2+C7*C6)/(C2+C6)</f>
        <v>2198.5022466300547</v>
      </c>
      <c r="D10" s="28" t="s">
        <v>30</v>
      </c>
    </row>
    <row r="11" spans="1:8" ht="34" x14ac:dyDescent="0.2">
      <c r="A11" s="8"/>
      <c r="B11" s="29" t="s">
        <v>38</v>
      </c>
      <c r="C11" s="30">
        <f>C4*(C2/(C2+C6)*C3/C10)</f>
        <v>2.452538831864838</v>
      </c>
      <c r="D11" s="28" t="s">
        <v>32</v>
      </c>
    </row>
    <row r="13" spans="1:8" ht="18.75" customHeight="1" x14ac:dyDescent="0.25">
      <c r="A13" s="7" t="s">
        <v>39</v>
      </c>
      <c r="B13" s="7"/>
      <c r="C13" s="7"/>
      <c r="D13" s="7"/>
    </row>
    <row r="14" spans="1:8" x14ac:dyDescent="0.2">
      <c r="A14" s="6" t="s">
        <v>40</v>
      </c>
      <c r="B14" s="6"/>
      <c r="C14" s="31">
        <f>C9*C7/1000</f>
        <v>440.66</v>
      </c>
      <c r="D14" t="s">
        <v>41</v>
      </c>
      <c r="G14" t="s">
        <v>42</v>
      </c>
      <c r="H14" t="s">
        <v>43</v>
      </c>
    </row>
    <row r="15" spans="1:8" x14ac:dyDescent="0.2">
      <c r="A15" s="6" t="s">
        <v>44</v>
      </c>
      <c r="B15" s="6"/>
      <c r="C15" s="25" t="str">
        <f>IF(C11&lt;G17,F17,IF(C11&lt;G16,F16,F15))</f>
        <v>Décharge E</v>
      </c>
      <c r="F15" t="s">
        <v>45</v>
      </c>
      <c r="G15">
        <v>10</v>
      </c>
      <c r="H15" s="25">
        <v>450</v>
      </c>
    </row>
    <row r="16" spans="1:8" x14ac:dyDescent="0.2">
      <c r="A16" s="6" t="s">
        <v>46</v>
      </c>
      <c r="B16" s="6"/>
      <c r="C16" s="25">
        <f>IF(C15=F17,H17,IF(C15=F16,H16,H15))</f>
        <v>450</v>
      </c>
      <c r="D16" t="s">
        <v>47</v>
      </c>
      <c r="F16" t="s">
        <v>48</v>
      </c>
      <c r="G16">
        <v>1</v>
      </c>
      <c r="H16" s="25">
        <v>60</v>
      </c>
    </row>
    <row r="17" spans="1:8" x14ac:dyDescent="0.2">
      <c r="A17" s="6" t="s">
        <v>49</v>
      </c>
      <c r="B17" s="6"/>
      <c r="C17" s="32">
        <f>C14*C16/1000</f>
        <v>198.297</v>
      </c>
      <c r="D17" t="s">
        <v>50</v>
      </c>
      <c r="F17" t="s">
        <v>51</v>
      </c>
      <c r="G17">
        <v>0.5</v>
      </c>
      <c r="H17" s="25">
        <v>30</v>
      </c>
    </row>
    <row r="18" spans="1:8" x14ac:dyDescent="0.2">
      <c r="A18" t="s">
        <v>52</v>
      </c>
      <c r="C18" s="33">
        <v>0</v>
      </c>
      <c r="D18" t="s">
        <v>50</v>
      </c>
    </row>
    <row r="19" spans="1:8" x14ac:dyDescent="0.2">
      <c r="A19" s="34" t="s">
        <v>53</v>
      </c>
      <c r="B19" s="34"/>
      <c r="C19" s="35">
        <f>C17+C18</f>
        <v>198.297</v>
      </c>
      <c r="D19" s="34" t="s">
        <v>50</v>
      </c>
    </row>
    <row r="20" spans="1:8" x14ac:dyDescent="0.2">
      <c r="A20" s="34"/>
      <c r="B20" s="34"/>
      <c r="C20" s="35"/>
      <c r="D20" s="34"/>
    </row>
    <row r="21" spans="1:8" x14ac:dyDescent="0.2">
      <c r="A21" s="36" t="s">
        <v>54</v>
      </c>
      <c r="B21" s="36"/>
      <c r="C21" s="37">
        <f>C19</f>
        <v>198.297</v>
      </c>
      <c r="D21" s="36" t="s">
        <v>50</v>
      </c>
    </row>
    <row r="22" spans="1:8" x14ac:dyDescent="0.2">
      <c r="C22" s="31"/>
    </row>
    <row r="23" spans="1:8" ht="18.75" customHeight="1" x14ac:dyDescent="0.25">
      <c r="A23" s="7" t="s">
        <v>55</v>
      </c>
      <c r="B23" s="7"/>
      <c r="C23" s="7"/>
      <c r="D23" s="7"/>
    </row>
    <row r="24" spans="1:8" ht="15.75" customHeight="1" x14ac:dyDescent="0.2">
      <c r="A24" s="5" t="s">
        <v>56</v>
      </c>
      <c r="B24" s="5"/>
      <c r="C24" s="5"/>
      <c r="D24" s="5"/>
    </row>
    <row r="25" spans="1:8" ht="44.75" customHeight="1" x14ac:dyDescent="0.2">
      <c r="A25" s="4" t="s">
        <v>57</v>
      </c>
      <c r="B25" s="4"/>
      <c r="C25" s="25">
        <v>2</v>
      </c>
      <c r="D25" t="s">
        <v>28</v>
      </c>
    </row>
    <row r="26" spans="1:8" x14ac:dyDescent="0.2">
      <c r="A26" s="6" t="s">
        <v>40</v>
      </c>
      <c r="B26" s="6"/>
      <c r="C26" s="31">
        <f>(C2*C3+C7*C25)/1000</f>
        <v>4.76</v>
      </c>
      <c r="D26" t="s">
        <v>41</v>
      </c>
    </row>
    <row r="27" spans="1:8" ht="18.75" customHeight="1" x14ac:dyDescent="0.2">
      <c r="A27" s="6" t="s">
        <v>44</v>
      </c>
      <c r="B27" s="6"/>
      <c r="C27" s="25" t="s">
        <v>58</v>
      </c>
    </row>
    <row r="28" spans="1:8" x14ac:dyDescent="0.2">
      <c r="A28" s="6" t="s">
        <v>46</v>
      </c>
      <c r="B28" s="6"/>
      <c r="C28" s="25">
        <f>'Calcul par couches'!C44</f>
        <v>250</v>
      </c>
      <c r="D28" t="s">
        <v>47</v>
      </c>
    </row>
    <row r="29" spans="1:8" x14ac:dyDescent="0.2">
      <c r="A29" s="6" t="s">
        <v>49</v>
      </c>
      <c r="B29" s="6"/>
      <c r="C29" s="25">
        <f>C26*C28/1000</f>
        <v>1.19</v>
      </c>
      <c r="D29" t="s">
        <v>50</v>
      </c>
    </row>
    <row r="30" spans="1:8" x14ac:dyDescent="0.2">
      <c r="A30" t="s">
        <v>52</v>
      </c>
      <c r="C30" s="25">
        <f>'Calcul par couches'!C39</f>
        <v>35</v>
      </c>
      <c r="D30" t="s">
        <v>50</v>
      </c>
    </row>
    <row r="31" spans="1:8" x14ac:dyDescent="0.2">
      <c r="A31" s="34" t="s">
        <v>59</v>
      </c>
      <c r="B31" s="34"/>
      <c r="C31" s="35">
        <f>C29+C30</f>
        <v>36.19</v>
      </c>
      <c r="D31" s="34" t="s">
        <v>50</v>
      </c>
    </row>
    <row r="32" spans="1:8" x14ac:dyDescent="0.2">
      <c r="C32" s="31"/>
    </row>
    <row r="33" spans="1:4" x14ac:dyDescent="0.2">
      <c r="A33" s="38" t="s">
        <v>60</v>
      </c>
      <c r="B33" s="38"/>
      <c r="C33" s="30"/>
      <c r="D33" s="38"/>
    </row>
    <row r="34" spans="1:4" x14ac:dyDescent="0.2">
      <c r="A34" s="6" t="s">
        <v>40</v>
      </c>
      <c r="B34" s="6"/>
      <c r="C34" s="31">
        <f>(C6-C25)*C7/1000</f>
        <v>435.6</v>
      </c>
      <c r="D34" t="s">
        <v>41</v>
      </c>
    </row>
    <row r="35" spans="1:4" x14ac:dyDescent="0.2">
      <c r="A35" s="6" t="s">
        <v>44</v>
      </c>
      <c r="B35" s="6"/>
      <c r="C35" s="25" t="s">
        <v>61</v>
      </c>
    </row>
    <row r="36" spans="1:4" x14ac:dyDescent="0.2">
      <c r="A36" s="6" t="s">
        <v>46</v>
      </c>
      <c r="B36" s="6"/>
      <c r="C36" s="25">
        <f>'Calcul par couches'!C47</f>
        <v>30</v>
      </c>
      <c r="D36" t="s">
        <v>62</v>
      </c>
    </row>
    <row r="37" spans="1:4" x14ac:dyDescent="0.2">
      <c r="A37" s="6" t="s">
        <v>49</v>
      </c>
      <c r="B37" s="6"/>
      <c r="C37" s="32">
        <f>C34*C36/1000</f>
        <v>13.068</v>
      </c>
      <c r="D37" t="s">
        <v>50</v>
      </c>
    </row>
    <row r="38" spans="1:4" x14ac:dyDescent="0.2">
      <c r="A38" s="34" t="s">
        <v>59</v>
      </c>
      <c r="B38" s="34"/>
      <c r="C38" s="35">
        <f>C37</f>
        <v>13.068</v>
      </c>
      <c r="D38" s="34" t="s">
        <v>50</v>
      </c>
    </row>
    <row r="40" spans="1:4" x14ac:dyDescent="0.2">
      <c r="A40" s="36" t="s">
        <v>54</v>
      </c>
      <c r="B40" s="36"/>
      <c r="C40" s="37">
        <f>C31+C38</f>
        <v>49.257999999999996</v>
      </c>
      <c r="D40" s="36" t="s">
        <v>50</v>
      </c>
    </row>
    <row r="49" spans="1:5" s="40" customFormat="1" x14ac:dyDescent="0.2">
      <c r="A49" s="39" t="s">
        <v>63</v>
      </c>
      <c r="C49" s="39" t="s">
        <v>64</v>
      </c>
      <c r="D49" s="39" t="s">
        <v>65</v>
      </c>
    </row>
    <row r="50" spans="1:5" x14ac:dyDescent="0.2">
      <c r="B50" t="s">
        <v>66</v>
      </c>
      <c r="C50">
        <v>2000</v>
      </c>
      <c r="D50">
        <v>2200</v>
      </c>
      <c r="E50" t="s">
        <v>30</v>
      </c>
    </row>
    <row r="51" spans="1:5" x14ac:dyDescent="0.2">
      <c r="B51" t="s">
        <v>67</v>
      </c>
      <c r="C51">
        <v>2000</v>
      </c>
      <c r="D51">
        <v>2100</v>
      </c>
      <c r="E51" t="s">
        <v>30</v>
      </c>
    </row>
    <row r="52" spans="1:5" x14ac:dyDescent="0.2">
      <c r="B52" t="s">
        <v>68</v>
      </c>
      <c r="C52">
        <v>950</v>
      </c>
      <c r="D52">
        <v>1100</v>
      </c>
      <c r="E52" t="s">
        <v>30</v>
      </c>
    </row>
    <row r="53" spans="1:5" x14ac:dyDescent="0.2">
      <c r="B53" t="s">
        <v>69</v>
      </c>
      <c r="C53">
        <v>1000</v>
      </c>
      <c r="D53">
        <v>1500</v>
      </c>
      <c r="E53" t="s">
        <v>30</v>
      </c>
    </row>
    <row r="54" spans="1:5" x14ac:dyDescent="0.2">
      <c r="B54" t="s">
        <v>70</v>
      </c>
      <c r="C54">
        <v>1000</v>
      </c>
      <c r="D54">
        <v>1500</v>
      </c>
      <c r="E54" t="s">
        <v>30</v>
      </c>
    </row>
    <row r="55" spans="1:5" x14ac:dyDescent="0.2">
      <c r="B55" t="s">
        <v>71</v>
      </c>
      <c r="C55">
        <v>1000</v>
      </c>
      <c r="D55">
        <v>3000</v>
      </c>
      <c r="E55" t="s">
        <v>30</v>
      </c>
    </row>
  </sheetData>
  <customSheetViews>
    <customSheetView guid="{238FE9F7-9E46-F14F-9229-96AB9710E81D}" scale="110">
      <selection activeCell="C2" sqref="C2"/>
      <pageMargins left="0.7" right="0.7" top="0.75" bottom="0.75" header="0.51180555555555496" footer="0.51180555555555496"/>
      <pageSetup paperSize="9" firstPageNumber="0" orientation="portrait" horizontalDpi="300" verticalDpi="300"/>
    </customSheetView>
  </customSheetViews>
  <mergeCells count="20">
    <mergeCell ref="A29:B29"/>
    <mergeCell ref="A34:B34"/>
    <mergeCell ref="A35:B35"/>
    <mergeCell ref="A36:B36"/>
    <mergeCell ref="A37:B37"/>
    <mergeCell ref="A24:D24"/>
    <mergeCell ref="A25:B25"/>
    <mergeCell ref="A26:B26"/>
    <mergeCell ref="A27:B27"/>
    <mergeCell ref="A28:B28"/>
    <mergeCell ref="A14:B14"/>
    <mergeCell ref="A15:B15"/>
    <mergeCell ref="A16:B16"/>
    <mergeCell ref="A17:B17"/>
    <mergeCell ref="A23:D23"/>
    <mergeCell ref="A1:D1"/>
    <mergeCell ref="A2:A4"/>
    <mergeCell ref="A6:A7"/>
    <mergeCell ref="A9:A11"/>
    <mergeCell ref="A13:D13"/>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zoomScale="110" zoomScaleNormal="110" workbookViewId="0">
      <selection activeCell="A9" sqref="A9:XFD9"/>
    </sheetView>
  </sheetViews>
  <sheetFormatPr baseColWidth="10" defaultColWidth="10.5" defaultRowHeight="16" x14ac:dyDescent="0.2"/>
  <cols>
    <col min="1" max="1" width="6.1640625" customWidth="1"/>
    <col min="2" max="2" width="27.33203125" customWidth="1"/>
    <col min="3" max="3" width="8.33203125" customWidth="1"/>
    <col min="5" max="5" width="7.33203125" customWidth="1"/>
    <col min="6" max="6" width="10" customWidth="1"/>
    <col min="7" max="7" width="29.6640625" customWidth="1"/>
    <col min="8" max="8" width="8.33203125" customWidth="1"/>
    <col min="9" max="9" width="9.33203125" customWidth="1"/>
    <col min="10" max="10" width="10.83203125" customWidth="1"/>
    <col min="11" max="11" width="4.6640625" customWidth="1"/>
    <col min="12" max="12" width="10" customWidth="1"/>
    <col min="13" max="13" width="29.1640625" customWidth="1"/>
    <col min="14" max="14" width="9.1640625" customWidth="1"/>
    <col min="15" max="15" width="9" customWidth="1"/>
    <col min="18" max="18" width="24.1640625" customWidth="1"/>
    <col min="20" max="20" width="9" customWidth="1"/>
    <col min="23" max="23" width="24.83203125" customWidth="1"/>
    <col min="25" max="25" width="9.1640625" customWidth="1"/>
  </cols>
  <sheetData>
    <row r="1" spans="1:26" s="42" customFormat="1" ht="19" x14ac:dyDescent="0.25">
      <c r="A1" s="41" t="s">
        <v>72</v>
      </c>
      <c r="E1" s="43"/>
      <c r="F1" s="42" t="s">
        <v>73</v>
      </c>
      <c r="K1" s="43"/>
      <c r="L1" s="42" t="s">
        <v>74</v>
      </c>
      <c r="P1" s="43"/>
      <c r="Q1" s="42" t="s">
        <v>75</v>
      </c>
      <c r="U1" s="43"/>
      <c r="V1" s="42" t="s">
        <v>75</v>
      </c>
      <c r="Z1" s="43"/>
    </row>
    <row r="2" spans="1:26" ht="15.75" customHeight="1" x14ac:dyDescent="0.2">
      <c r="A2" s="10" t="s">
        <v>26</v>
      </c>
      <c r="B2" s="24" t="s">
        <v>76</v>
      </c>
      <c r="C2" s="25">
        <v>0.3</v>
      </c>
      <c r="D2" s="24" t="s">
        <v>28</v>
      </c>
      <c r="F2" s="8" t="s">
        <v>26</v>
      </c>
      <c r="G2" s="28" t="s">
        <v>77</v>
      </c>
      <c r="H2" s="28">
        <f>C2</f>
        <v>0.3</v>
      </c>
      <c r="I2" s="28" t="s">
        <v>28</v>
      </c>
      <c r="L2" s="8" t="s">
        <v>78</v>
      </c>
      <c r="Q2" s="8" t="s">
        <v>79</v>
      </c>
      <c r="V2" s="8" t="s">
        <v>80</v>
      </c>
    </row>
    <row r="3" spans="1:26" x14ac:dyDescent="0.2">
      <c r="A3" s="10"/>
      <c r="B3" s="24" t="s">
        <v>81</v>
      </c>
      <c r="C3" s="25">
        <v>1200</v>
      </c>
      <c r="D3" s="24" t="s">
        <v>30</v>
      </c>
      <c r="F3" s="8"/>
      <c r="G3" s="28" t="s">
        <v>82</v>
      </c>
      <c r="H3" s="28">
        <f>C3</f>
        <v>1200</v>
      </c>
      <c r="I3" s="28" t="s">
        <v>30</v>
      </c>
      <c r="L3" s="8"/>
      <c r="Q3" s="8"/>
      <c r="V3" s="8"/>
    </row>
    <row r="4" spans="1:26" x14ac:dyDescent="0.2">
      <c r="A4" s="10"/>
      <c r="B4" s="24" t="s">
        <v>31</v>
      </c>
      <c r="C4" s="25">
        <v>12000</v>
      </c>
      <c r="D4" s="24" t="s">
        <v>32</v>
      </c>
      <c r="F4" s="8"/>
      <c r="G4" s="28" t="s">
        <v>83</v>
      </c>
      <c r="H4" s="28">
        <f>H2*H3/1000</f>
        <v>0.36</v>
      </c>
      <c r="I4" s="28" t="s">
        <v>41</v>
      </c>
      <c r="L4" s="8"/>
      <c r="Q4" s="8"/>
      <c r="V4" s="8"/>
    </row>
    <row r="5" spans="1:26" x14ac:dyDescent="0.2">
      <c r="A5" s="26"/>
      <c r="F5" s="44"/>
      <c r="G5" s="45" t="s">
        <v>84</v>
      </c>
      <c r="H5" s="45">
        <f>C4</f>
        <v>12000</v>
      </c>
      <c r="I5" s="45" t="s">
        <v>32</v>
      </c>
      <c r="J5" s="46"/>
      <c r="L5" s="8"/>
      <c r="M5" s="47" t="s">
        <v>77</v>
      </c>
      <c r="N5" s="48">
        <f>C2+C6</f>
        <v>5.3</v>
      </c>
      <c r="O5" s="28" t="s">
        <v>28</v>
      </c>
      <c r="P5" s="46"/>
      <c r="Q5" s="8"/>
      <c r="V5" s="8"/>
    </row>
    <row r="6" spans="1:26" ht="15.75" customHeight="1" x14ac:dyDescent="0.2">
      <c r="A6" s="9" t="s">
        <v>85</v>
      </c>
      <c r="B6" s="49" t="s">
        <v>86</v>
      </c>
      <c r="C6" s="25">
        <v>5</v>
      </c>
      <c r="D6" s="49" t="s">
        <v>28</v>
      </c>
      <c r="F6" s="3" t="s">
        <v>87</v>
      </c>
      <c r="G6" s="34"/>
      <c r="H6" s="35"/>
      <c r="J6" s="46">
        <f>J4+J5</f>
        <v>0</v>
      </c>
      <c r="L6" s="8"/>
      <c r="M6" s="28" t="s">
        <v>82</v>
      </c>
      <c r="N6" s="50">
        <f>(C2*C3+C6*C7)/N5</f>
        <v>2143.3962264150946</v>
      </c>
      <c r="O6" s="28" t="s">
        <v>30</v>
      </c>
      <c r="Q6" s="8"/>
      <c r="V6" s="8"/>
    </row>
    <row r="7" spans="1:26" x14ac:dyDescent="0.2">
      <c r="A7" s="9"/>
      <c r="B7" s="49" t="s">
        <v>88</v>
      </c>
      <c r="C7" s="25">
        <v>2200</v>
      </c>
      <c r="D7" s="49" t="s">
        <v>30</v>
      </c>
      <c r="F7" s="3"/>
      <c r="L7" s="8"/>
      <c r="M7" s="28" t="s">
        <v>83</v>
      </c>
      <c r="N7" s="28">
        <f>N5*N6/1000</f>
        <v>11.360000000000001</v>
      </c>
      <c r="O7" s="28" t="s">
        <v>41</v>
      </c>
      <c r="Q7" s="8"/>
      <c r="V7" s="8"/>
    </row>
    <row r="8" spans="1:26" x14ac:dyDescent="0.2">
      <c r="A8" s="9"/>
      <c r="B8" s="49" t="s">
        <v>89</v>
      </c>
      <c r="C8" s="25">
        <v>500</v>
      </c>
      <c r="D8" s="49" t="s">
        <v>32</v>
      </c>
      <c r="F8" s="3"/>
      <c r="L8" s="8"/>
      <c r="M8" s="45" t="s">
        <v>84</v>
      </c>
      <c r="N8" s="30">
        <f>(C2*C3*C4+C6*C7*C8)/N7/1000</f>
        <v>864.43661971830977</v>
      </c>
      <c r="O8" s="28" t="s">
        <v>32</v>
      </c>
      <c r="Q8" s="8"/>
      <c r="V8" s="8"/>
    </row>
    <row r="9" spans="1:26" x14ac:dyDescent="0.2">
      <c r="A9" s="26"/>
      <c r="F9" s="3"/>
      <c r="Q9" s="8"/>
      <c r="V9" s="8"/>
    </row>
    <row r="10" spans="1:26" ht="15.75" customHeight="1" x14ac:dyDescent="0.2">
      <c r="A10" s="2" t="s">
        <v>90</v>
      </c>
      <c r="B10" s="2"/>
      <c r="C10" s="25">
        <v>2</v>
      </c>
      <c r="D10" s="51" t="s">
        <v>28</v>
      </c>
      <c r="F10" s="3"/>
      <c r="L10" s="3" t="s">
        <v>91</v>
      </c>
      <c r="Q10" s="8"/>
      <c r="V10" s="8"/>
    </row>
    <row r="11" spans="1:26" ht="17" x14ac:dyDescent="0.2">
      <c r="A11" s="52"/>
      <c r="B11" s="52" t="s">
        <v>88</v>
      </c>
      <c r="C11" s="53">
        <f>C7</f>
        <v>2200</v>
      </c>
      <c r="D11" s="51" t="s">
        <v>30</v>
      </c>
      <c r="F11" s="3"/>
      <c r="L11" s="3"/>
      <c r="Q11" s="8"/>
      <c r="V11" s="8"/>
    </row>
    <row r="12" spans="1:26" ht="17" x14ac:dyDescent="0.2">
      <c r="A12" s="52"/>
      <c r="B12" s="52" t="s">
        <v>92</v>
      </c>
      <c r="C12" s="53">
        <f>(C8+C16)/2</f>
        <v>290</v>
      </c>
      <c r="D12" s="51" t="s">
        <v>32</v>
      </c>
      <c r="F12" s="3"/>
      <c r="L12" s="3"/>
      <c r="Q12" s="8"/>
      <c r="V12" s="8"/>
    </row>
    <row r="13" spans="1:26" x14ac:dyDescent="0.2">
      <c r="A13" s="26"/>
      <c r="F13" s="3"/>
      <c r="L13" s="3"/>
      <c r="Q13" s="8"/>
      <c r="R13" s="47" t="s">
        <v>77</v>
      </c>
      <c r="S13" s="48">
        <f>C2+C6+C10+C14</f>
        <v>12.3</v>
      </c>
      <c r="T13" s="28" t="s">
        <v>28</v>
      </c>
      <c r="V13" s="8"/>
    </row>
    <row r="14" spans="1:26" ht="15.75" customHeight="1" x14ac:dyDescent="0.2">
      <c r="A14" s="9" t="s">
        <v>93</v>
      </c>
      <c r="B14" s="49" t="s">
        <v>86</v>
      </c>
      <c r="C14" s="25">
        <v>5</v>
      </c>
      <c r="D14" s="49" t="s">
        <v>28</v>
      </c>
      <c r="F14" s="3"/>
      <c r="L14" s="3"/>
      <c r="Q14" s="8"/>
      <c r="R14" s="28" t="s">
        <v>82</v>
      </c>
      <c r="S14" s="50">
        <f>(C2*C3+C6*C7+C10*C11+C14*C15)/(S13)</f>
        <v>2175.6097560975609</v>
      </c>
      <c r="T14" s="28" t="s">
        <v>30</v>
      </c>
      <c r="V14" s="8"/>
    </row>
    <row r="15" spans="1:26" x14ac:dyDescent="0.2">
      <c r="A15" s="9"/>
      <c r="B15" s="49" t="s">
        <v>88</v>
      </c>
      <c r="C15" s="49">
        <f>C7</f>
        <v>2200</v>
      </c>
      <c r="D15" s="49" t="s">
        <v>30</v>
      </c>
      <c r="F15" s="3"/>
      <c r="L15" s="3"/>
      <c r="Q15" s="8"/>
      <c r="R15" s="28" t="s">
        <v>83</v>
      </c>
      <c r="S15" s="28">
        <f>S13*S14/1000</f>
        <v>26.76</v>
      </c>
      <c r="T15" s="28" t="s">
        <v>41</v>
      </c>
      <c r="V15" s="8"/>
    </row>
    <row r="16" spans="1:26" x14ac:dyDescent="0.2">
      <c r="A16" s="9"/>
      <c r="B16" s="49" t="s">
        <v>89</v>
      </c>
      <c r="C16" s="25">
        <v>80</v>
      </c>
      <c r="D16" s="49" t="s">
        <v>32</v>
      </c>
      <c r="F16" s="3"/>
      <c r="L16" s="3"/>
      <c r="Q16" s="8"/>
      <c r="R16" s="45" t="s">
        <v>92</v>
      </c>
      <c r="S16" s="30">
        <f>(C2*C3*C4+C6*C7*C8+C10*C11*C12+C14*C15*C16)/S15/1000</f>
        <v>447.5336322869955</v>
      </c>
      <c r="T16" s="28" t="s">
        <v>32</v>
      </c>
      <c r="V16" s="8"/>
    </row>
    <row r="17" spans="1:25" x14ac:dyDescent="0.2">
      <c r="A17" s="26"/>
      <c r="F17" s="3"/>
      <c r="L17" s="3"/>
      <c r="V17" s="8"/>
    </row>
    <row r="18" spans="1:25" ht="15.75" customHeight="1" x14ac:dyDescent="0.2">
      <c r="A18" s="2" t="s">
        <v>90</v>
      </c>
      <c r="B18" s="2"/>
      <c r="C18" s="25">
        <v>2</v>
      </c>
      <c r="D18" s="51" t="s">
        <v>28</v>
      </c>
      <c r="F18" s="3"/>
      <c r="L18" s="3"/>
      <c r="Q18" s="3" t="s">
        <v>91</v>
      </c>
      <c r="V18" s="8"/>
    </row>
    <row r="19" spans="1:25" ht="17" x14ac:dyDescent="0.2">
      <c r="A19" s="52"/>
      <c r="B19" s="52" t="s">
        <v>88</v>
      </c>
      <c r="C19" s="53">
        <f>C7</f>
        <v>2200</v>
      </c>
      <c r="D19" s="51" t="s">
        <v>30</v>
      </c>
      <c r="F19" s="3"/>
      <c r="J19" s="46"/>
      <c r="L19" s="3"/>
      <c r="Q19" s="3"/>
      <c r="V19" s="8"/>
    </row>
    <row r="20" spans="1:25" ht="17" x14ac:dyDescent="0.2">
      <c r="A20" s="52"/>
      <c r="B20" s="52" t="s">
        <v>92</v>
      </c>
      <c r="C20" s="53">
        <f>(C16+C24)/2</f>
        <v>40</v>
      </c>
      <c r="D20" s="51" t="s">
        <v>32</v>
      </c>
      <c r="F20" s="3"/>
      <c r="J20" s="46"/>
      <c r="L20" s="3"/>
      <c r="Q20" s="3"/>
      <c r="V20" s="8"/>
      <c r="W20" s="47" t="s">
        <v>77</v>
      </c>
      <c r="X20" s="48">
        <f>C2+C6+C10+C14+C18+C22</f>
        <v>19.3</v>
      </c>
      <c r="Y20" s="28" t="s">
        <v>28</v>
      </c>
    </row>
    <row r="21" spans="1:25" x14ac:dyDescent="0.2">
      <c r="A21" s="26"/>
      <c r="F21" s="3"/>
      <c r="L21" s="3"/>
      <c r="Q21" s="3"/>
      <c r="V21" s="8"/>
      <c r="W21" s="28" t="s">
        <v>82</v>
      </c>
      <c r="X21" s="50">
        <f>(C2*C3+C6*C7+C10*C11+C14*C15+C18*C19+C22*C23)/(X20)</f>
        <v>2184.4559585492229</v>
      </c>
      <c r="Y21" s="28" t="s">
        <v>30</v>
      </c>
    </row>
    <row r="22" spans="1:25" ht="15.75" customHeight="1" x14ac:dyDescent="0.2">
      <c r="A22" s="9" t="s">
        <v>94</v>
      </c>
      <c r="B22" s="49" t="s">
        <v>86</v>
      </c>
      <c r="C22" s="25">
        <v>5</v>
      </c>
      <c r="D22" s="49" t="s">
        <v>28</v>
      </c>
      <c r="F22" s="3"/>
      <c r="L22" s="3"/>
      <c r="Q22" s="3"/>
      <c r="V22" s="8"/>
      <c r="W22" s="28" t="s">
        <v>83</v>
      </c>
      <c r="X22" s="28">
        <f>X20*X21/1000</f>
        <v>42.160000000000011</v>
      </c>
      <c r="Y22" s="28" t="s">
        <v>41</v>
      </c>
    </row>
    <row r="23" spans="1:25" x14ac:dyDescent="0.2">
      <c r="A23" s="9"/>
      <c r="B23" s="49" t="s">
        <v>88</v>
      </c>
      <c r="C23" s="49">
        <f>C7</f>
        <v>2200</v>
      </c>
      <c r="D23" s="49" t="s">
        <v>30</v>
      </c>
      <c r="F23" s="3"/>
      <c r="L23" s="3"/>
      <c r="Q23" s="3"/>
      <c r="V23" s="8"/>
      <c r="W23" s="45" t="s">
        <v>92</v>
      </c>
      <c r="X23" s="30">
        <f>(C2*C3*C4+C6*C7*C8+C10*C11*C12+C14*C15*C16+C18*C19*C20+C22*C23*C24)/X22/1000</f>
        <v>288.23529411764702</v>
      </c>
      <c r="Y23" s="28" t="s">
        <v>32</v>
      </c>
    </row>
    <row r="24" spans="1:25" x14ac:dyDescent="0.2">
      <c r="A24" s="9"/>
      <c r="B24" s="49" t="s">
        <v>89</v>
      </c>
      <c r="C24" s="25">
        <v>0</v>
      </c>
      <c r="D24" s="49" t="s">
        <v>32</v>
      </c>
      <c r="F24" s="3"/>
      <c r="L24" s="3"/>
      <c r="Q24" s="3"/>
    </row>
    <row r="25" spans="1:25" ht="15.75" customHeight="1" x14ac:dyDescent="0.2">
      <c r="A25" s="26"/>
      <c r="F25" s="3"/>
      <c r="G25" s="27" t="s">
        <v>77</v>
      </c>
      <c r="H25" s="27">
        <f>C6+C10+C14+C18+C22+C26</f>
        <v>200</v>
      </c>
      <c r="I25" s="27" t="s">
        <v>28</v>
      </c>
      <c r="L25" s="3"/>
      <c r="M25" s="54" t="s">
        <v>77</v>
      </c>
      <c r="N25" s="27">
        <f>C10+C14+C18+C22+C26</f>
        <v>195</v>
      </c>
      <c r="O25" s="27" t="s">
        <v>28</v>
      </c>
      <c r="Q25" s="3"/>
      <c r="R25" s="54" t="s">
        <v>77</v>
      </c>
      <c r="S25" s="27">
        <f>C18+C22+C26</f>
        <v>188</v>
      </c>
      <c r="T25" s="27" t="s">
        <v>28</v>
      </c>
      <c r="V25" s="3" t="s">
        <v>95</v>
      </c>
      <c r="W25" s="54" t="s">
        <v>77</v>
      </c>
      <c r="X25" s="27">
        <f>C26</f>
        <v>181</v>
      </c>
      <c r="Y25" s="27" t="s">
        <v>28</v>
      </c>
    </row>
    <row r="26" spans="1:25" ht="15.75" customHeight="1" x14ac:dyDescent="0.2">
      <c r="A26" s="1" t="s">
        <v>96</v>
      </c>
      <c r="B26" s="1"/>
      <c r="C26" s="25">
        <v>181</v>
      </c>
      <c r="D26" s="51" t="s">
        <v>28</v>
      </c>
      <c r="F26" s="3"/>
      <c r="G26" s="27" t="s">
        <v>82</v>
      </c>
      <c r="H26" s="27">
        <f>C7</f>
        <v>2200</v>
      </c>
      <c r="I26" s="27" t="s">
        <v>30</v>
      </c>
      <c r="L26" s="3"/>
      <c r="M26" s="27" t="s">
        <v>82</v>
      </c>
      <c r="N26" s="27">
        <f>C7</f>
        <v>2200</v>
      </c>
      <c r="O26" s="27" t="s">
        <v>30</v>
      </c>
      <c r="Q26" s="3"/>
      <c r="R26" s="27" t="s">
        <v>82</v>
      </c>
      <c r="S26" s="27">
        <f>C7</f>
        <v>2200</v>
      </c>
      <c r="T26" s="27" t="s">
        <v>30</v>
      </c>
      <c r="V26" s="3"/>
      <c r="W26" s="27" t="s">
        <v>82</v>
      </c>
      <c r="X26" s="27">
        <f>C7</f>
        <v>2200</v>
      </c>
      <c r="Y26" s="27" t="s">
        <v>30</v>
      </c>
    </row>
    <row r="27" spans="1:25" ht="17" x14ac:dyDescent="0.2">
      <c r="A27" s="52"/>
      <c r="B27" s="52" t="s">
        <v>88</v>
      </c>
      <c r="C27" s="53">
        <f>C7</f>
        <v>2200</v>
      </c>
      <c r="D27" s="51" t="s">
        <v>30</v>
      </c>
      <c r="F27" s="3"/>
      <c r="G27" s="27" t="s">
        <v>83</v>
      </c>
      <c r="H27" s="55">
        <f>H25*H26/1000</f>
        <v>440</v>
      </c>
      <c r="I27" s="27" t="s">
        <v>41</v>
      </c>
      <c r="L27" s="3"/>
      <c r="M27" s="27" t="s">
        <v>83</v>
      </c>
      <c r="N27" s="55">
        <f>N25*N26/1000</f>
        <v>429</v>
      </c>
      <c r="O27" s="27" t="s">
        <v>41</v>
      </c>
      <c r="Q27" s="3"/>
      <c r="R27" s="27" t="s">
        <v>83</v>
      </c>
      <c r="S27" s="55">
        <f>S25*S26/1000</f>
        <v>413.6</v>
      </c>
      <c r="T27" s="27" t="s">
        <v>41</v>
      </c>
      <c r="V27" s="3"/>
      <c r="W27" s="27" t="s">
        <v>83</v>
      </c>
      <c r="X27" s="55">
        <f>X25*X26/1000</f>
        <v>398.2</v>
      </c>
      <c r="Y27" s="27" t="s">
        <v>41</v>
      </c>
    </row>
    <row r="28" spans="1:25" ht="17" x14ac:dyDescent="0.2">
      <c r="A28" s="52"/>
      <c r="B28" s="52" t="s">
        <v>92</v>
      </c>
      <c r="C28" s="53">
        <v>0</v>
      </c>
      <c r="D28" s="51" t="s">
        <v>32</v>
      </c>
      <c r="F28" s="3"/>
      <c r="G28" s="56" t="s">
        <v>92</v>
      </c>
      <c r="H28" s="57">
        <f>(C6*C8+C10*C12+C14*C16+C18*C20+C22*C24+C26*C28)/H25</f>
        <v>17.8</v>
      </c>
      <c r="I28" s="27" t="s">
        <v>32</v>
      </c>
      <c r="L28" s="3"/>
      <c r="M28" s="56" t="s">
        <v>92</v>
      </c>
      <c r="N28" s="57">
        <f>(C10*C12+C14*C16+C18*C20+C22*C24+C26*C28)/N25</f>
        <v>5.4358974358974361</v>
      </c>
      <c r="O28" s="27" t="s">
        <v>32</v>
      </c>
      <c r="Q28" s="3"/>
      <c r="R28" s="56" t="s">
        <v>92</v>
      </c>
      <c r="S28" s="58">
        <f>(C18*C20+C22*C24+C26*C28)/S25</f>
        <v>0.42553191489361702</v>
      </c>
      <c r="T28" s="27" t="s">
        <v>32</v>
      </c>
      <c r="V28" s="3"/>
      <c r="W28" s="56" t="s">
        <v>92</v>
      </c>
      <c r="X28" s="58">
        <f>C28</f>
        <v>0</v>
      </c>
      <c r="Y28" s="27" t="s">
        <v>32</v>
      </c>
    </row>
    <row r="29" spans="1:25" x14ac:dyDescent="0.2">
      <c r="A29" s="26"/>
    </row>
    <row r="30" spans="1:25" ht="15.75" customHeight="1" x14ac:dyDescent="0.2">
      <c r="A30" s="8" t="s">
        <v>36</v>
      </c>
      <c r="B30" s="28" t="s">
        <v>37</v>
      </c>
      <c r="C30" s="28">
        <f>C2+C6+C10+C14+C18+C22+C26</f>
        <v>200.3</v>
      </c>
      <c r="D30" s="28" t="s">
        <v>28</v>
      </c>
      <c r="F30" s="8" t="s">
        <v>36</v>
      </c>
      <c r="G30" s="28" t="s">
        <v>37</v>
      </c>
      <c r="H30" s="28">
        <f>H2+H25</f>
        <v>200.3</v>
      </c>
      <c r="I30" s="28" t="s">
        <v>28</v>
      </c>
      <c r="L30" s="8" t="s">
        <v>36</v>
      </c>
      <c r="M30" s="47" t="s">
        <v>97</v>
      </c>
      <c r="N30" s="48">
        <f>N5+N25</f>
        <v>200.3</v>
      </c>
      <c r="O30" s="28" t="s">
        <v>28</v>
      </c>
      <c r="Q30" s="8" t="s">
        <v>36</v>
      </c>
      <c r="R30" s="47" t="s">
        <v>97</v>
      </c>
      <c r="S30" s="48">
        <f>S13+S25</f>
        <v>200.3</v>
      </c>
      <c r="T30" s="28" t="s">
        <v>28</v>
      </c>
      <c r="V30" s="8" t="s">
        <v>36</v>
      </c>
      <c r="W30" s="47" t="s">
        <v>97</v>
      </c>
      <c r="X30" s="48">
        <f>X20+X25</f>
        <v>200.3</v>
      </c>
      <c r="Y30" s="28" t="s">
        <v>28</v>
      </c>
    </row>
    <row r="31" spans="1:25" x14ac:dyDescent="0.2">
      <c r="A31" s="8"/>
      <c r="B31" s="28" t="s">
        <v>14</v>
      </c>
      <c r="C31" s="50">
        <f>(C2*C3+C6*C7+C10*C11+C14*C15+C18*C19+C22*C23+C26*C27)/C30</f>
        <v>2198.5022466300547</v>
      </c>
      <c r="D31" s="28" t="s">
        <v>30</v>
      </c>
      <c r="F31" s="8"/>
      <c r="G31" s="28" t="s">
        <v>14</v>
      </c>
      <c r="H31" s="28">
        <f>(H2*H3+H25*H26)/(H2+H25)</f>
        <v>2198.5022466300547</v>
      </c>
      <c r="I31" s="28" t="s">
        <v>30</v>
      </c>
      <c r="L31" s="8"/>
      <c r="M31" s="28" t="s">
        <v>14</v>
      </c>
      <c r="N31" s="50">
        <f>(N5*N6+N25*N26)/(N5+N25)</f>
        <v>2198.5022466300547</v>
      </c>
      <c r="O31" s="28" t="s">
        <v>30</v>
      </c>
      <c r="Q31" s="8"/>
      <c r="R31" s="28" t="s">
        <v>14</v>
      </c>
      <c r="S31" s="50">
        <f>(S13*S14+S25*S26)/S30</f>
        <v>2198.5022466300547</v>
      </c>
      <c r="T31" s="28" t="s">
        <v>30</v>
      </c>
      <c r="V31" s="8"/>
      <c r="W31" s="28" t="s">
        <v>14</v>
      </c>
      <c r="X31" s="50">
        <f>(X20*X21+X25*X26)/X30</f>
        <v>2198.5022466300547</v>
      </c>
      <c r="Y31" s="28" t="s">
        <v>30</v>
      </c>
    </row>
    <row r="32" spans="1:25" x14ac:dyDescent="0.2">
      <c r="A32" s="8"/>
      <c r="B32" s="45" t="s">
        <v>98</v>
      </c>
      <c r="C32" s="30">
        <f>(C2*C3*C4+C6*C7*C8+C10*C11*C12+C14*C15*C16+C18*C19*C20+C22*C23*C24+C26*C27*C28)/(C2*C3+C6*C7+C10*C11+C14*C15+C18*C19+C22*C23+C26*C27)</f>
        <v>27.595603597056954</v>
      </c>
      <c r="D32" s="28" t="s">
        <v>32</v>
      </c>
      <c r="F32" s="8"/>
      <c r="G32" s="45" t="s">
        <v>99</v>
      </c>
      <c r="H32" s="30">
        <f>(H2*H3*H5+H25*H26*H28)/(H2*H3+H25*H26)</f>
        <v>27.595603597056954</v>
      </c>
      <c r="I32" s="28" t="s">
        <v>32</v>
      </c>
      <c r="L32" s="8"/>
      <c r="M32" s="45" t="s">
        <v>99</v>
      </c>
      <c r="N32" s="30">
        <f>(N5*N6*N8+N25*N26*N28)/(N5*N6+N25*N26)</f>
        <v>27.595603597056954</v>
      </c>
      <c r="O32" s="28" t="s">
        <v>32</v>
      </c>
      <c r="Q32" s="8"/>
      <c r="R32" s="45" t="s">
        <v>99</v>
      </c>
      <c r="S32" s="30">
        <f>(S13*S14*S16+S25*S26*S28)/(S13*S14+S25*S26)</f>
        <v>27.595603597056954</v>
      </c>
      <c r="T32" s="28" t="s">
        <v>32</v>
      </c>
      <c r="V32" s="8"/>
      <c r="W32" s="45" t="s">
        <v>99</v>
      </c>
      <c r="X32" s="30">
        <f>(X20*X21*X23+X25*X26*X28)/(X20*X21+X25*X26)</f>
        <v>27.595603597056954</v>
      </c>
      <c r="Y32" s="28" t="s">
        <v>32</v>
      </c>
    </row>
    <row r="33" spans="1:25" x14ac:dyDescent="0.2">
      <c r="A33" s="8"/>
      <c r="B33" s="28" t="s">
        <v>100</v>
      </c>
      <c r="C33" s="50">
        <f>(C2*C3+C6*C7+C10*C11+C14*C15+C18*C19+C22*C23+C26*C27)/1000</f>
        <v>440.36</v>
      </c>
      <c r="D33" s="28" t="s">
        <v>41</v>
      </c>
      <c r="F33" s="8"/>
      <c r="G33" s="28" t="s">
        <v>101</v>
      </c>
      <c r="H33" s="50">
        <f>H4+H27</f>
        <v>440.36</v>
      </c>
      <c r="I33" s="28" t="s">
        <v>41</v>
      </c>
      <c r="L33" s="8"/>
      <c r="M33" s="28" t="s">
        <v>101</v>
      </c>
      <c r="N33" s="50">
        <f>N7+N27</f>
        <v>440.36</v>
      </c>
      <c r="O33" s="28" t="s">
        <v>41</v>
      </c>
      <c r="Q33" s="8"/>
      <c r="R33" s="28" t="s">
        <v>101</v>
      </c>
      <c r="S33" s="50">
        <f>S15+S27</f>
        <v>440.36</v>
      </c>
      <c r="T33" s="28" t="s">
        <v>41</v>
      </c>
      <c r="V33" s="8"/>
      <c r="W33" s="28" t="s">
        <v>101</v>
      </c>
      <c r="X33" s="50">
        <f>X22+X27</f>
        <v>440.36</v>
      </c>
      <c r="Y33" s="28" t="s">
        <v>41</v>
      </c>
    </row>
    <row r="37" spans="1:25" ht="18.75" customHeight="1" x14ac:dyDescent="0.25">
      <c r="A37" s="7" t="s">
        <v>102</v>
      </c>
      <c r="B37" s="7"/>
      <c r="C37" s="7"/>
      <c r="D37" s="7"/>
      <c r="F37" s="7" t="s">
        <v>103</v>
      </c>
      <c r="G37" s="7"/>
      <c r="H37" s="7"/>
      <c r="I37" s="7"/>
      <c r="L37" s="7" t="s">
        <v>103</v>
      </c>
      <c r="M37" s="7"/>
      <c r="N37" s="7"/>
      <c r="O37" s="7"/>
      <c r="Q37" s="7" t="s">
        <v>103</v>
      </c>
      <c r="R37" s="7"/>
      <c r="S37" s="7"/>
      <c r="T37" s="7"/>
      <c r="V37" s="7" t="s">
        <v>104</v>
      </c>
      <c r="W37" s="7"/>
      <c r="X37" s="7"/>
      <c r="Y37" s="7"/>
    </row>
    <row r="38" spans="1:25" x14ac:dyDescent="0.2">
      <c r="A38" s="59" t="s">
        <v>105</v>
      </c>
      <c r="B38" s="60"/>
      <c r="C38" s="60"/>
      <c r="D38" s="60"/>
      <c r="F38" s="38" t="s">
        <v>106</v>
      </c>
      <c r="G38" s="61"/>
      <c r="H38" s="61"/>
      <c r="I38" s="61"/>
      <c r="L38" s="38" t="s">
        <v>106</v>
      </c>
      <c r="M38" s="61"/>
      <c r="N38" s="61"/>
      <c r="O38" s="61"/>
      <c r="Q38" s="38" t="s">
        <v>106</v>
      </c>
      <c r="R38" s="61"/>
      <c r="S38" s="61"/>
      <c r="T38" s="61"/>
      <c r="V38" s="38" t="s">
        <v>106</v>
      </c>
      <c r="W38" s="61"/>
      <c r="X38" s="61"/>
      <c r="Y38" s="61"/>
    </row>
    <row r="39" spans="1:25" x14ac:dyDescent="0.2">
      <c r="A39" s="6" t="s">
        <v>107</v>
      </c>
      <c r="B39" s="6"/>
      <c r="C39" s="25">
        <v>35</v>
      </c>
      <c r="D39" t="s">
        <v>50</v>
      </c>
      <c r="F39" s="6" t="s">
        <v>108</v>
      </c>
      <c r="G39" s="6"/>
      <c r="H39" s="31">
        <f>H4</f>
        <v>0.36</v>
      </c>
      <c r="I39" t="s">
        <v>41</v>
      </c>
      <c r="L39" s="6" t="s">
        <v>108</v>
      </c>
      <c r="M39" s="6"/>
      <c r="N39" s="31">
        <f>N7</f>
        <v>11.360000000000001</v>
      </c>
      <c r="O39" t="s">
        <v>41</v>
      </c>
      <c r="Q39" s="6" t="s">
        <v>108</v>
      </c>
      <c r="R39" s="6"/>
      <c r="S39" s="31">
        <f>S15</f>
        <v>26.76</v>
      </c>
      <c r="T39" t="s">
        <v>41</v>
      </c>
      <c r="V39" s="6" t="s">
        <v>108</v>
      </c>
      <c r="W39" s="6"/>
      <c r="X39" s="31">
        <f>X22</f>
        <v>42.160000000000011</v>
      </c>
      <c r="Y39" t="s">
        <v>41</v>
      </c>
    </row>
    <row r="40" spans="1:25" x14ac:dyDescent="0.2">
      <c r="A40" s="6" t="s">
        <v>109</v>
      </c>
      <c r="B40" s="6"/>
      <c r="C40" s="25">
        <v>80</v>
      </c>
      <c r="D40" t="s">
        <v>50</v>
      </c>
      <c r="F40" s="6" t="s">
        <v>44</v>
      </c>
      <c r="G40" s="6"/>
      <c r="H40" s="25" t="str">
        <f>IF($H5&lt;10000,$A44,$A43)</f>
        <v>UIDS</v>
      </c>
      <c r="L40" s="6" t="s">
        <v>44</v>
      </c>
      <c r="M40" s="6"/>
      <c r="N40" s="25" t="str">
        <f>IF(N8&lt;10000,$A44,$A43)</f>
        <v>UIOM</v>
      </c>
      <c r="Q40" s="6" t="s">
        <v>44</v>
      </c>
      <c r="R40" s="6"/>
      <c r="S40" s="25" t="str">
        <f>IF(S16&lt;10000,$A44,$A43)</f>
        <v>UIOM</v>
      </c>
      <c r="V40" s="6" t="s">
        <v>44</v>
      </c>
      <c r="W40" s="6"/>
      <c r="X40" s="25" t="str">
        <f>IF(X23&lt;10000,$A44,$A43)</f>
        <v>UIOM</v>
      </c>
    </row>
    <row r="41" spans="1:25" x14ac:dyDescent="0.2">
      <c r="F41" s="6" t="s">
        <v>110</v>
      </c>
      <c r="G41" s="6"/>
      <c r="H41" s="25">
        <f>IF(H40=$A44,$C44,$C43)</f>
        <v>350</v>
      </c>
      <c r="I41" t="s">
        <v>47</v>
      </c>
      <c r="L41" s="6" t="s">
        <v>110</v>
      </c>
      <c r="M41" s="6"/>
      <c r="N41" s="25">
        <f>IF(N40=$A44,$C44,$C43)</f>
        <v>250</v>
      </c>
      <c r="O41" t="s">
        <v>47</v>
      </c>
      <c r="Q41" s="6" t="s">
        <v>110</v>
      </c>
      <c r="R41" s="6"/>
      <c r="S41" s="25">
        <f>C44</f>
        <v>250</v>
      </c>
      <c r="T41" t="s">
        <v>47</v>
      </c>
      <c r="V41" s="6" t="s">
        <v>110</v>
      </c>
      <c r="W41" s="6"/>
      <c r="X41" s="25">
        <f>C44</f>
        <v>250</v>
      </c>
      <c r="Y41" t="s">
        <v>47</v>
      </c>
    </row>
    <row r="42" spans="1:25" x14ac:dyDescent="0.2">
      <c r="A42" s="59" t="s">
        <v>111</v>
      </c>
      <c r="B42" s="60"/>
      <c r="C42" s="60"/>
      <c r="D42" s="60"/>
      <c r="F42" s="6" t="s">
        <v>112</v>
      </c>
      <c r="G42" s="6"/>
      <c r="H42" s="32">
        <f>H39*H41/1000</f>
        <v>0.126</v>
      </c>
      <c r="I42" t="s">
        <v>50</v>
      </c>
      <c r="L42" s="6" t="s">
        <v>112</v>
      </c>
      <c r="M42" s="6"/>
      <c r="N42" s="32">
        <f>N39*N41/1000</f>
        <v>2.8400000000000003</v>
      </c>
      <c r="O42" t="s">
        <v>50</v>
      </c>
      <c r="Q42" s="6" t="s">
        <v>112</v>
      </c>
      <c r="R42" s="6"/>
      <c r="S42" s="32">
        <f>S39*S41/1000</f>
        <v>6.69</v>
      </c>
      <c r="T42" t="s">
        <v>50</v>
      </c>
      <c r="V42" s="6" t="s">
        <v>112</v>
      </c>
      <c r="W42" s="6"/>
      <c r="X42" s="32">
        <f>X39*X41/1000</f>
        <v>10.540000000000003</v>
      </c>
      <c r="Y42" t="s">
        <v>50</v>
      </c>
    </row>
    <row r="43" spans="1:25" x14ac:dyDescent="0.2">
      <c r="A43" s="6" t="s">
        <v>113</v>
      </c>
      <c r="B43" s="6"/>
      <c r="C43" s="25">
        <v>350</v>
      </c>
      <c r="D43" t="s">
        <v>47</v>
      </c>
      <c r="F43" t="s">
        <v>114</v>
      </c>
      <c r="H43" s="25">
        <f>C39</f>
        <v>35</v>
      </c>
      <c r="I43" t="s">
        <v>50</v>
      </c>
      <c r="L43" t="s">
        <v>114</v>
      </c>
      <c r="N43" s="25">
        <f>C40</f>
        <v>80</v>
      </c>
      <c r="O43" t="s">
        <v>50</v>
      </c>
      <c r="Q43" t="s">
        <v>114</v>
      </c>
      <c r="S43" s="25">
        <f>C40</f>
        <v>80</v>
      </c>
      <c r="T43" t="s">
        <v>50</v>
      </c>
      <c r="V43" t="s">
        <v>114</v>
      </c>
      <c r="X43" s="25">
        <f>C40</f>
        <v>80</v>
      </c>
      <c r="Y43" t="s">
        <v>50</v>
      </c>
    </row>
    <row r="44" spans="1:25" x14ac:dyDescent="0.2">
      <c r="A44" s="6" t="s">
        <v>58</v>
      </c>
      <c r="B44" s="6"/>
      <c r="C44" s="25">
        <v>250</v>
      </c>
      <c r="D44" t="s">
        <v>47</v>
      </c>
      <c r="F44" s="34" t="s">
        <v>115</v>
      </c>
      <c r="G44" s="34"/>
      <c r="H44" s="35">
        <f>H42+H43</f>
        <v>35.125999999999998</v>
      </c>
      <c r="I44" s="34" t="s">
        <v>50</v>
      </c>
      <c r="L44" s="34" t="s">
        <v>115</v>
      </c>
      <c r="M44" s="34"/>
      <c r="N44" s="35">
        <f>N42+N43</f>
        <v>82.84</v>
      </c>
      <c r="O44" s="34" t="s">
        <v>50</v>
      </c>
      <c r="Q44" s="34" t="s">
        <v>115</v>
      </c>
      <c r="R44" s="34"/>
      <c r="S44" s="35">
        <f>S42+S43</f>
        <v>86.69</v>
      </c>
      <c r="T44" s="34" t="s">
        <v>50</v>
      </c>
      <c r="V44" s="34" t="s">
        <v>115</v>
      </c>
      <c r="W44" s="34"/>
      <c r="X44" s="35">
        <f>X42+X43</f>
        <v>90.54</v>
      </c>
      <c r="Y44" s="34" t="s">
        <v>50</v>
      </c>
    </row>
    <row r="45" spans="1:25" x14ac:dyDescent="0.2">
      <c r="A45" s="6" t="s">
        <v>45</v>
      </c>
      <c r="B45" s="6"/>
      <c r="C45" s="25">
        <v>600</v>
      </c>
      <c r="D45" t="s">
        <v>47</v>
      </c>
      <c r="H45" s="31"/>
      <c r="N45" s="31"/>
      <c r="S45" s="31"/>
      <c r="X45" s="31"/>
    </row>
    <row r="46" spans="1:25" x14ac:dyDescent="0.2">
      <c r="A46" s="6" t="s">
        <v>48</v>
      </c>
      <c r="B46" s="6"/>
      <c r="C46" s="25">
        <v>60</v>
      </c>
      <c r="D46" t="s">
        <v>47</v>
      </c>
      <c r="F46" s="38" t="s">
        <v>116</v>
      </c>
      <c r="G46" s="38"/>
      <c r="H46" s="30"/>
      <c r="I46" s="38"/>
      <c r="L46" s="38" t="s">
        <v>116</v>
      </c>
      <c r="M46" s="38"/>
      <c r="N46" s="30"/>
      <c r="O46" s="38"/>
      <c r="Q46" s="38" t="s">
        <v>116</v>
      </c>
      <c r="R46" s="38"/>
      <c r="S46" s="30"/>
      <c r="T46" s="38"/>
      <c r="V46" s="38" t="s">
        <v>116</v>
      </c>
      <c r="W46" s="38"/>
      <c r="X46" s="30"/>
      <c r="Y46" s="38"/>
    </row>
    <row r="47" spans="1:25" x14ac:dyDescent="0.2">
      <c r="A47" s="6" t="s">
        <v>117</v>
      </c>
      <c r="B47" s="6"/>
      <c r="C47" s="25">
        <v>30</v>
      </c>
      <c r="D47" t="s">
        <v>47</v>
      </c>
      <c r="F47" s="6" t="s">
        <v>108</v>
      </c>
      <c r="G47" s="6"/>
      <c r="H47" s="31">
        <f>H27</f>
        <v>440</v>
      </c>
      <c r="I47" t="s">
        <v>41</v>
      </c>
      <c r="L47" s="6" t="s">
        <v>108</v>
      </c>
      <c r="M47" s="6"/>
      <c r="N47" s="31">
        <f>N27</f>
        <v>429</v>
      </c>
      <c r="O47" t="s">
        <v>41</v>
      </c>
      <c r="Q47" s="6" t="s">
        <v>108</v>
      </c>
      <c r="R47" s="6"/>
      <c r="S47" s="31">
        <f>S27</f>
        <v>413.6</v>
      </c>
      <c r="T47" t="s">
        <v>41</v>
      </c>
      <c r="V47" s="6" t="s">
        <v>108</v>
      </c>
      <c r="W47" s="6"/>
      <c r="X47" s="31">
        <f>X27</f>
        <v>398.2</v>
      </c>
      <c r="Y47" t="s">
        <v>41</v>
      </c>
    </row>
    <row r="48" spans="1:25" x14ac:dyDescent="0.2">
      <c r="F48" s="6" t="s">
        <v>44</v>
      </c>
      <c r="G48" s="6"/>
      <c r="H48" s="25" t="str">
        <f>IF(H$28&lt;0.5,"Recycling",IF(H$28&lt;1,"Déch. B","Déch. E"))</f>
        <v>Déch. E</v>
      </c>
      <c r="L48" s="6" t="s">
        <v>44</v>
      </c>
      <c r="M48" s="6"/>
      <c r="N48" s="25" t="str">
        <f>IF(N$28&lt;0.5,"Recycling",IF(N$28&lt;1,"Déch. B","Déch. E"))</f>
        <v>Déch. E</v>
      </c>
      <c r="Q48" s="6" t="s">
        <v>44</v>
      </c>
      <c r="R48" s="6"/>
      <c r="S48" s="25" t="str">
        <f>IF(S$28&lt;0.5,"Recycling",IF(S$28&lt;1,"Dep. B","Dep. E"))</f>
        <v>Recycling</v>
      </c>
      <c r="V48" s="6" t="s">
        <v>44</v>
      </c>
      <c r="W48" s="6"/>
      <c r="X48" s="25" t="str">
        <f>IF(X$28&lt;0.5,"Recycling",IF(X$28&lt;1,"Déch. B","Déch. E"))</f>
        <v>Recycling</v>
      </c>
    </row>
    <row r="49" spans="6:25" x14ac:dyDescent="0.2">
      <c r="F49" s="6" t="s">
        <v>110</v>
      </c>
      <c r="G49" s="6"/>
      <c r="H49" s="25">
        <f>IF(H$28&lt;0.5,$C47,IF(H$28&lt;1,$C46,$C45))</f>
        <v>600</v>
      </c>
      <c r="I49" t="s">
        <v>62</v>
      </c>
      <c r="L49" s="6" t="s">
        <v>110</v>
      </c>
      <c r="M49" s="6"/>
      <c r="N49" s="25">
        <f>IF(N$28&lt;0.5,$C47,IF(N$28&lt;1,$C46,$C45))</f>
        <v>600</v>
      </c>
      <c r="O49" t="s">
        <v>62</v>
      </c>
      <c r="Q49" s="6" t="s">
        <v>110</v>
      </c>
      <c r="R49" s="6"/>
      <c r="S49" s="25">
        <f>IF(S$28&lt;0.5,$C47,IF(S$28&lt;1,$C46,$C45))</f>
        <v>30</v>
      </c>
      <c r="T49" t="s">
        <v>62</v>
      </c>
      <c r="V49" s="6" t="s">
        <v>110</v>
      </c>
      <c r="W49" s="6"/>
      <c r="X49" s="25">
        <f>IF(X$28&lt;0.5,$C47,IF(X$28&lt;1,$C46,$C45))</f>
        <v>30</v>
      </c>
      <c r="Y49" t="s">
        <v>62</v>
      </c>
    </row>
    <row r="50" spans="6:25" x14ac:dyDescent="0.2">
      <c r="F50" s="6" t="s">
        <v>112</v>
      </c>
      <c r="G50" s="6"/>
      <c r="H50" s="32">
        <f>H47*H49/1000</f>
        <v>264</v>
      </c>
      <c r="I50" t="s">
        <v>50</v>
      </c>
      <c r="L50" s="6" t="s">
        <v>112</v>
      </c>
      <c r="M50" s="6"/>
      <c r="N50" s="32">
        <f>N47*N49/1000</f>
        <v>257.39999999999998</v>
      </c>
      <c r="O50" t="s">
        <v>50</v>
      </c>
      <c r="Q50" s="6" t="s">
        <v>112</v>
      </c>
      <c r="R50" s="6"/>
      <c r="S50" s="32">
        <f>S47*S49/1000</f>
        <v>12.407999999999999</v>
      </c>
      <c r="T50" t="s">
        <v>50</v>
      </c>
      <c r="V50" s="6" t="s">
        <v>112</v>
      </c>
      <c r="W50" s="6"/>
      <c r="X50" s="32">
        <f>X47*X49/1000</f>
        <v>11.946</v>
      </c>
      <c r="Y50" t="s">
        <v>50</v>
      </c>
    </row>
    <row r="51" spans="6:25" x14ac:dyDescent="0.2">
      <c r="F51" s="34" t="s">
        <v>59</v>
      </c>
      <c r="G51" s="34"/>
      <c r="H51" s="35">
        <f>H50</f>
        <v>264</v>
      </c>
      <c r="I51" s="34" t="s">
        <v>50</v>
      </c>
      <c r="L51" s="34" t="s">
        <v>59</v>
      </c>
      <c r="M51" s="34"/>
      <c r="N51" s="35">
        <f>N50</f>
        <v>257.39999999999998</v>
      </c>
      <c r="O51" s="34" t="s">
        <v>50</v>
      </c>
      <c r="Q51" s="34" t="s">
        <v>59</v>
      </c>
      <c r="R51" s="34"/>
      <c r="S51" s="35">
        <f>S50</f>
        <v>12.407999999999999</v>
      </c>
      <c r="T51" s="34" t="s">
        <v>50</v>
      </c>
      <c r="V51" s="34" t="s">
        <v>59</v>
      </c>
      <c r="W51" s="34"/>
      <c r="X51" s="35">
        <f>X50</f>
        <v>11.946</v>
      </c>
      <c r="Y51" s="34" t="s">
        <v>50</v>
      </c>
    </row>
    <row r="53" spans="6:25" x14ac:dyDescent="0.2">
      <c r="F53" s="36" t="s">
        <v>118</v>
      </c>
      <c r="G53" s="36"/>
      <c r="H53" s="37">
        <f>H44+H51</f>
        <v>299.12599999999998</v>
      </c>
      <c r="I53" s="36" t="s">
        <v>50</v>
      </c>
      <c r="L53" s="36" t="s">
        <v>118</v>
      </c>
      <c r="M53" s="36"/>
      <c r="N53" s="37">
        <f>N44+N51</f>
        <v>340.24</v>
      </c>
      <c r="O53" s="36" t="s">
        <v>50</v>
      </c>
      <c r="Q53" s="36" t="s">
        <v>119</v>
      </c>
      <c r="R53" s="36"/>
      <c r="S53" s="37">
        <f>S44+S51</f>
        <v>99.097999999999999</v>
      </c>
      <c r="T53" s="36" t="s">
        <v>50</v>
      </c>
      <c r="V53" s="36" t="s">
        <v>119</v>
      </c>
      <c r="W53" s="36"/>
      <c r="X53" s="37">
        <f>X44+X51</f>
        <v>102.486</v>
      </c>
      <c r="Y53" s="36" t="s">
        <v>50</v>
      </c>
    </row>
  </sheetData>
  <customSheetViews>
    <customSheetView guid="{238FE9F7-9E46-F14F-9229-96AB9710E81D}" scale="110">
      <selection activeCell="A9" sqref="A9:XFD9"/>
      <pageMargins left="0.7" right="0.7" top="0.75" bottom="0.75" header="0.51180555555555496" footer="0.51180555555555496"/>
      <pageSetup paperSize="9" firstPageNumber="0" orientation="portrait" horizontalDpi="300" verticalDpi="300"/>
    </customSheetView>
  </customSheetViews>
  <mergeCells count="64">
    <mergeCell ref="F49:G49"/>
    <mergeCell ref="L49:M49"/>
    <mergeCell ref="Q49:R49"/>
    <mergeCell ref="V49:W49"/>
    <mergeCell ref="F50:G50"/>
    <mergeCell ref="L50:M50"/>
    <mergeCell ref="Q50:R50"/>
    <mergeCell ref="V50:W50"/>
    <mergeCell ref="F47:G47"/>
    <mergeCell ref="L47:M47"/>
    <mergeCell ref="Q47:R47"/>
    <mergeCell ref="V47:W47"/>
    <mergeCell ref="F48:G48"/>
    <mergeCell ref="L48:M48"/>
    <mergeCell ref="Q48:R48"/>
    <mergeCell ref="V48:W48"/>
    <mergeCell ref="A43:B43"/>
    <mergeCell ref="A44:B44"/>
    <mergeCell ref="A45:B45"/>
    <mergeCell ref="A46:B46"/>
    <mergeCell ref="A47:B47"/>
    <mergeCell ref="F41:G41"/>
    <mergeCell ref="L41:M41"/>
    <mergeCell ref="Q41:R41"/>
    <mergeCell ref="V41:W41"/>
    <mergeCell ref="F42:G42"/>
    <mergeCell ref="L42:M42"/>
    <mergeCell ref="Q42:R42"/>
    <mergeCell ref="V42:W42"/>
    <mergeCell ref="A40:B40"/>
    <mergeCell ref="F40:G40"/>
    <mergeCell ref="L40:M40"/>
    <mergeCell ref="Q40:R40"/>
    <mergeCell ref="V40:W40"/>
    <mergeCell ref="A39:B39"/>
    <mergeCell ref="F39:G39"/>
    <mergeCell ref="L39:M39"/>
    <mergeCell ref="Q39:R39"/>
    <mergeCell ref="V39:W39"/>
    <mergeCell ref="A37:D37"/>
    <mergeCell ref="F37:I37"/>
    <mergeCell ref="L37:O37"/>
    <mergeCell ref="Q37:T37"/>
    <mergeCell ref="V37:Y37"/>
    <mergeCell ref="A30:A33"/>
    <mergeCell ref="F30:F33"/>
    <mergeCell ref="L30:L33"/>
    <mergeCell ref="Q30:Q33"/>
    <mergeCell ref="V30:V33"/>
    <mergeCell ref="A2:A4"/>
    <mergeCell ref="F2:F4"/>
    <mergeCell ref="L2:L8"/>
    <mergeCell ref="Q2:Q16"/>
    <mergeCell ref="V2:V23"/>
    <mergeCell ref="A6:A8"/>
    <mergeCell ref="F6:F28"/>
    <mergeCell ref="A10:B10"/>
    <mergeCell ref="L10:L28"/>
    <mergeCell ref="A14:A16"/>
    <mergeCell ref="A18:B18"/>
    <mergeCell ref="Q18:Q28"/>
    <mergeCell ref="A22:A24"/>
    <mergeCell ref="V25:V28"/>
    <mergeCell ref="A26:B26"/>
  </mergeCells>
  <pageMargins left="0.7" right="0.7" top="0.75" bottom="0.75" header="0.51180555555555496" footer="0.51180555555555496"/>
  <pageSetup paperSize="9" firstPageNumber="0"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27</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Remarques</vt:lpstr>
      <vt:lpstr>Calcul simple</vt:lpstr>
      <vt:lpstr>Calcul par couches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Schneebeli</dc:creator>
  <dc:description/>
  <cp:lastModifiedBy>Simon Schneebeli</cp:lastModifiedBy>
  <cp:revision>4</cp:revision>
  <dcterms:created xsi:type="dcterms:W3CDTF">2023-11-01T15:22:03Z</dcterms:created>
  <dcterms:modified xsi:type="dcterms:W3CDTF">2025-01-09T10:43:57Z</dcterms:modified>
  <dc:language>fr-CH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0x01010031F5E6A649E57C4D8FB728D391386E94</vt:lpwstr>
  </property>
</Properties>
</file>